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autoCompressPictures="0" defaultThemeVersion="124226"/>
  <mc:AlternateContent xmlns:mc="http://schemas.openxmlformats.org/markup-compatibility/2006">
    <mc:Choice Requires="x15">
      <x15ac:absPath xmlns:x15ac="http://schemas.microsoft.com/office/spreadsheetml/2010/11/ac" url="Q:\Charter Schools\FINANCE\FISCAL\3. Reporting (DashBd, AFRs, Budgets &amp; Qs)\Fiscal Templates\2024-25 Templates\Templates for Upload\"/>
    </mc:Choice>
  </mc:AlternateContent>
  <xr:revisionPtr revIDLastSave="0" documentId="13_ncr:1_{25E60172-D580-4B63-B517-FB72E6C4BF8F}" xr6:coauthVersionLast="47" xr6:coauthVersionMax="47" xr10:uidLastSave="{00000000-0000-0000-0000-000000000000}"/>
  <workbookProtection workbookAlgorithmName="SHA-512" workbookHashValue="YJg8hfPLzcEaegKD+dBd7kziMI77lkvoHh9rKMYyS4VZ0tsOUQAYIrqHoML49XPdVvo3kqg5aXk8teOWeRekOQ==" workbookSaltValue="6foOiOvOoVsaXUdu6Q/Mxw==" workbookSpinCount="100000" lockStructure="1"/>
  <bookViews>
    <workbookView xWindow="28680" yWindow="-120" windowWidth="29040" windowHeight="16440" tabRatio="951" xr2:uid="{00000000-000D-0000-FFFF-FFFF00000000}"/>
  </bookViews>
  <sheets>
    <sheet name="INSTRUCTIONS" sheetId="1" r:id="rId1"/>
    <sheet name="Funding by District" sheetId="11" r:id="rId2"/>
    <sheet name="1.) Name of School" sheetId="3" r:id="rId3"/>
    <sheet name="2.) Enrollment" sheetId="21" r:id="rId4"/>
    <sheet name="3.) Staffing Plan" sheetId="14" r:id="rId5"/>
    <sheet name="4.) Yearly Budget" sheetId="18" r:id="rId6"/>
    <sheet name="5.) Balance Sheet" sheetId="17" r:id="rId7"/>
    <sheet name="6.) Quarterly Report" sheetId="20" r:id="rId8"/>
    <sheet name="7.) Annual Report Requirement" sheetId="19" state="veryHidden" r:id="rId9"/>
    <sheet name="CONTROL" sheetId="15" state="veryHidden" r:id="rId10"/>
  </sheets>
  <externalReferences>
    <externalReference r:id="rId11"/>
    <externalReference r:id="rId12"/>
  </externalReferences>
  <definedNames>
    <definedName name="_Fill" localSheetId="1" hidden="1">#REF!</definedName>
    <definedName name="_Fill" hidden="1">#REF!</definedName>
    <definedName name="_xlnm._FilterDatabase" localSheetId="9" hidden="1">CONTROL!$B$808:$G$1026</definedName>
    <definedName name="_Key1" localSheetId="1" hidden="1">#REF!</definedName>
    <definedName name="_Key1" hidden="1">#REF!</definedName>
    <definedName name="_Order1" hidden="1">255</definedName>
    <definedName name="_Sort" localSheetId="1" hidden="1">#REF!</definedName>
    <definedName name="_Sort" hidden="1">#REF!</definedName>
    <definedName name="_Table1_In1" localSheetId="1" hidden="1">#REF!</definedName>
    <definedName name="_Table1_In1" hidden="1">#REF!</definedName>
    <definedName name="_Table1_Out" localSheetId="1" hidden="1">#REF!</definedName>
    <definedName name="_Table1_Out" hidden="1">#REF!</definedName>
    <definedName name="_Table2_In1" localSheetId="1" hidden="1">#REF!</definedName>
    <definedName name="_Table2_In1" hidden="1">#REF!</definedName>
    <definedName name="_Table2_Out" localSheetId="1" hidden="1">#REF!</definedName>
    <definedName name="_Table2_Out" hidden="1">#REF!</definedName>
    <definedName name="AcadYr1">'1.) Name of School'!$D$18</definedName>
    <definedName name="BSNote">CONTROL!#REF!</definedName>
    <definedName name="BSNote1">CONTROL!$C$797</definedName>
    <definedName name="BSNote2">CONTROL!$C$798</definedName>
    <definedName name="BSNoteCode">CONTROL!$C$796</definedName>
    <definedName name="DATA_01" hidden="1">'[1]Bond Amortization1'!#REF!</definedName>
    <definedName name="DATA_08" hidden="1">'[1]Bond Amortization1'!#REF!</definedName>
    <definedName name="DistrictList">'Funding by District'!$D$6:$D$683</definedName>
    <definedName name="DVList_AcadYr">CONTROL!$B$15:$B$17</definedName>
    <definedName name="IntroPrintArea" hidden="1">#REF!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40834.4439583333</definedName>
    <definedName name="IQ_NTM" hidden="1">6000</definedName>
    <definedName name="IQ_TODAY" hidden="1">0</definedName>
    <definedName name="IQ_WEEK" hidden="1">50000</definedName>
    <definedName name="IQ_YTD" hidden="1">3000</definedName>
    <definedName name="IQ_YTDMONTH" hidden="1">130000</definedName>
    <definedName name="List_Grade5Levels">CONTROL!$B$43:$B$45</definedName>
    <definedName name="List_GradeLevels">CONTROL!$B$43:$B$46</definedName>
    <definedName name="Mssg1">CONTROL!$B$38</definedName>
    <definedName name="Mssg2">CONTROL!$B$39</definedName>
    <definedName name="Mssg3">CONTROL!$B$40</definedName>
    <definedName name="mySchools">Table2[SCHOOLS]</definedName>
    <definedName name="Percentages">#REF!</definedName>
    <definedName name="PPR_Tbl_Date">CONTROL!$I$35</definedName>
    <definedName name="_xlnm.Print_Area" localSheetId="2">'1.) Name of School'!$C$2:$E$19</definedName>
    <definedName name="_xlnm.Print_Area" localSheetId="3">'2.) Enrollment'!$A$1:$T$71</definedName>
    <definedName name="_xlnm.Print_Area" localSheetId="4">'3.) Staffing Plan'!$B$2:$T$45</definedName>
    <definedName name="_xlnm.Print_Area" localSheetId="5">'4.) Yearly Budget'!$B$2:$AA$183,'4.) Yearly Budget'!$B$185:$AA$205</definedName>
    <definedName name="_xlnm.Print_Area" localSheetId="6">'5.) Balance Sheet'!$B$2:$J$49</definedName>
    <definedName name="_xlnm.Print_Area" localSheetId="7">'6.) Quarterly Report'!$B$2:$AE$183</definedName>
    <definedName name="_xlnm.Print_Area" localSheetId="1">'Funding by District'!$C$2:$F$3</definedName>
    <definedName name="_xlnm.Print_Area" localSheetId="0">INSTRUCTIONS!$B$2:$F$30</definedName>
    <definedName name="_xlnm.Print_Titles" localSheetId="3">'2.) Enrollment'!$19:$21</definedName>
    <definedName name="_xlnm.Print_Titles" localSheetId="4">'3.) Staffing Plan'!$A:$B,'3.) Staffing Plan'!$1:$2</definedName>
    <definedName name="_xlnm.Print_Titles" localSheetId="5">'4.) Yearly Budget'!$B:$H,'4.) Yearly Budget'!$2:$13</definedName>
    <definedName name="_xlnm.Print_Titles" localSheetId="7">'6.) Quarterly Report'!$B:$H,'6.) Quarterly Report'!$2:$13</definedName>
    <definedName name="_xlnm.Print_Titles" localSheetId="1">'Funding by District'!$1:$5</definedName>
    <definedName name="PriorPeriod">CONTROL!$I$22</definedName>
    <definedName name="QTR">CONTROL!$O$10</definedName>
    <definedName name="QTR_MSG">CONTROL!$M$12</definedName>
    <definedName name="School">CONTROL!$I$5</definedName>
    <definedName name="SCHOOLS">CONTROL!$B$808:$G$1026</definedName>
    <definedName name="UnusedDistrictList" comment="List of School Districts that have NOT been selected yet.  (Array Forumula Range...requires using F2 to modify and Ctrl-Shift-Enter to enter formula).">OFFSET(CONTROL!$B$109,0,0,COUNTA(CONTROL!$B$109:$B$788)-COUNTBLANK(CONTROL!$B$109:$B$788),1)</definedName>
    <definedName name="X_PositionsCategories">OFFSET([2]Assumptions!$AN$67,0,0,COUNTA([2]Assumptions!$AN:$AN)-1,1)</definedName>
    <definedName name="Year1">CONTROL!$I$16</definedName>
    <definedName name="Year2">CONTROL!$I$17</definedName>
    <definedName name="Year3">CONTROL!$I$18</definedName>
    <definedName name="Year4">CONTROL!$I$19</definedName>
    <definedName name="Year5">CONTROL!$I$20</definedName>
    <definedName name="Z_5E4DC421_887D_9843_8B54_CF861F76B668_.wvu.PrintArea" localSheetId="2" hidden="1">'1.) Name of School'!$C$2:$D$20</definedName>
    <definedName name="Z_5E4DC421_887D_9843_8B54_CF861F76B668_.wvu.PrintArea" localSheetId="0" hidden="1">INSTRUCTIONS!$C$2:$D$38</definedName>
    <definedName name="Z_7E5415B2_297C_4CDE_9A5E_CCA4F5662440_.wvu.PrintArea" localSheetId="2" hidden="1">'1.) Name of School'!$C$2:$D$20</definedName>
    <definedName name="Z_7E5415B2_297C_4CDE_9A5E_CCA4F5662440_.wvu.PrintArea" localSheetId="0" hidden="1">INSTRUCTIONS!$C$2:$D$38</definedName>
  </definedNames>
  <calcPr calcId="191029"/>
  <customWorkbookViews>
    <customWorkbookView name="DHruby - Personal View" guid="{7E5415B2-297C-4CDE-9A5E-CCA4F5662440}" mergeInterval="0" personalView="1" maximized="1" windowWidth="1916" windowHeight="825" tabRatio="951" activeSheetId="8"/>
    <customWorkbookView name="Citizens  World - Personal View" guid="{5E4DC421-887D-9843-8B54-CF861F76B668}" mergeInterval="0" personalView="1" yWindow="54" windowWidth="1276" windowHeight="724" tabRatio="95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3" i="15" l="1"/>
  <c r="H833" i="15" s="1"/>
  <c r="G1026" i="15"/>
  <c r="H1026" i="15" s="1"/>
  <c r="G1025" i="15"/>
  <c r="H1025" i="15" s="1"/>
  <c r="G1024" i="15"/>
  <c r="H1024" i="15" s="1"/>
  <c r="G1023" i="15"/>
  <c r="H1023" i="15" s="1"/>
  <c r="G1022" i="15"/>
  <c r="H1022" i="15" s="1"/>
  <c r="H1021" i="15"/>
  <c r="G1021" i="15"/>
  <c r="H1020" i="15"/>
  <c r="G1020" i="15"/>
  <c r="H1019" i="15"/>
  <c r="G1019" i="15"/>
  <c r="H1018" i="15"/>
  <c r="G1018" i="15"/>
  <c r="G1017" i="15"/>
  <c r="H1017" i="15" s="1"/>
  <c r="G1016" i="15"/>
  <c r="H1016" i="15" s="1"/>
  <c r="G1015" i="15"/>
  <c r="H1015" i="15" s="1"/>
  <c r="H1014" i="15"/>
  <c r="G1014" i="15"/>
  <c r="H1013" i="15"/>
  <c r="G1013" i="15"/>
  <c r="G1012" i="15"/>
  <c r="H1012" i="15" s="1"/>
  <c r="G1011" i="15"/>
  <c r="H1011" i="15" s="1"/>
  <c r="G1010" i="15"/>
  <c r="H1010" i="15" s="1"/>
  <c r="G1009" i="15"/>
  <c r="H1009" i="15" s="1"/>
  <c r="G1008" i="15"/>
  <c r="H1008" i="15" s="1"/>
  <c r="G1007" i="15"/>
  <c r="H1007" i="15" s="1"/>
  <c r="G1006" i="15"/>
  <c r="H1006" i="15" s="1"/>
  <c r="G1005" i="15"/>
  <c r="H1005" i="15" s="1"/>
  <c r="G1004" i="15"/>
  <c r="H1004" i="15" s="1"/>
  <c r="G1003" i="15"/>
  <c r="H1003" i="15" s="1"/>
  <c r="G1002" i="15"/>
  <c r="H1002" i="15" s="1"/>
  <c r="G1001" i="15"/>
  <c r="H1001" i="15" s="1"/>
  <c r="G1000" i="15"/>
  <c r="H1000" i="15" s="1"/>
  <c r="G999" i="15"/>
  <c r="H999" i="15" s="1"/>
  <c r="G998" i="15"/>
  <c r="H998" i="15" s="1"/>
  <c r="G997" i="15"/>
  <c r="H997" i="15" s="1"/>
  <c r="G996" i="15"/>
  <c r="H996" i="15" s="1"/>
  <c r="G995" i="15"/>
  <c r="H995" i="15" s="1"/>
  <c r="G994" i="15"/>
  <c r="H994" i="15" s="1"/>
  <c r="G993" i="15"/>
  <c r="H993" i="15" s="1"/>
  <c r="G992" i="15"/>
  <c r="H992" i="15" s="1"/>
  <c r="G991" i="15"/>
  <c r="H991" i="15" s="1"/>
  <c r="G990" i="15"/>
  <c r="H990" i="15" s="1"/>
  <c r="G989" i="15"/>
  <c r="H989" i="15" s="1"/>
  <c r="G988" i="15"/>
  <c r="H988" i="15" s="1"/>
  <c r="G987" i="15"/>
  <c r="H987" i="15" s="1"/>
  <c r="G986" i="15"/>
  <c r="H986" i="15" s="1"/>
  <c r="G985" i="15"/>
  <c r="H985" i="15" s="1"/>
  <c r="G984" i="15"/>
  <c r="H984" i="15" s="1"/>
  <c r="G983" i="15"/>
  <c r="H983" i="15" s="1"/>
  <c r="G982" i="15"/>
  <c r="H982" i="15" s="1"/>
  <c r="G981" i="15"/>
  <c r="H981" i="15" s="1"/>
  <c r="G980" i="15"/>
  <c r="H980" i="15" s="1"/>
  <c r="G979" i="15"/>
  <c r="H979" i="15" s="1"/>
  <c r="G978" i="15"/>
  <c r="H978" i="15" s="1"/>
  <c r="H977" i="15"/>
  <c r="G977" i="15"/>
  <c r="H976" i="15"/>
  <c r="G976" i="15"/>
  <c r="H975" i="15"/>
  <c r="G975" i="15"/>
  <c r="H974" i="15"/>
  <c r="G974" i="15"/>
  <c r="H973" i="15"/>
  <c r="G973" i="15"/>
  <c r="G972" i="15"/>
  <c r="H972" i="15" s="1"/>
  <c r="G971" i="15"/>
  <c r="H971" i="15" s="1"/>
  <c r="G970" i="15"/>
  <c r="H970" i="15" s="1"/>
  <c r="H969" i="15"/>
  <c r="G969" i="15"/>
  <c r="H968" i="15"/>
  <c r="G968" i="15"/>
  <c r="H967" i="15"/>
  <c r="G967" i="15"/>
  <c r="G966" i="15"/>
  <c r="H966" i="15" s="1"/>
  <c r="G965" i="15"/>
  <c r="H965" i="15" s="1"/>
  <c r="G964" i="15"/>
  <c r="H964" i="15" s="1"/>
  <c r="G963" i="15"/>
  <c r="H963" i="15" s="1"/>
  <c r="G962" i="15"/>
  <c r="H962" i="15" s="1"/>
  <c r="G961" i="15"/>
  <c r="H961" i="15" s="1"/>
  <c r="H960" i="15"/>
  <c r="G960" i="15"/>
  <c r="H959" i="15"/>
  <c r="G959" i="15"/>
  <c r="H958" i="15"/>
  <c r="G958" i="15"/>
  <c r="H957" i="15"/>
  <c r="G957" i="15"/>
  <c r="H956" i="15"/>
  <c r="G956" i="15"/>
  <c r="H955" i="15"/>
  <c r="G955" i="15"/>
  <c r="H954" i="15"/>
  <c r="G954" i="15"/>
  <c r="H953" i="15"/>
  <c r="G953" i="15"/>
  <c r="H952" i="15"/>
  <c r="G952" i="15"/>
  <c r="H951" i="15"/>
  <c r="G951" i="15"/>
  <c r="G950" i="15"/>
  <c r="H950" i="15" s="1"/>
  <c r="G949" i="15"/>
  <c r="H949" i="15" s="1"/>
  <c r="H948" i="15"/>
  <c r="G948" i="15"/>
  <c r="H947" i="15"/>
  <c r="G947" i="15"/>
  <c r="G946" i="15"/>
  <c r="H946" i="15" s="1"/>
  <c r="G945" i="15"/>
  <c r="H945" i="15" s="1"/>
  <c r="G944" i="15"/>
  <c r="H944" i="15" s="1"/>
  <c r="G943" i="15"/>
  <c r="H943" i="15" s="1"/>
  <c r="G942" i="15"/>
  <c r="H942" i="15" s="1"/>
  <c r="H941" i="15"/>
  <c r="G941" i="15"/>
  <c r="H940" i="15"/>
  <c r="G940" i="15"/>
  <c r="G939" i="15"/>
  <c r="H939" i="15" s="1"/>
  <c r="G938" i="15"/>
  <c r="H938" i="15" s="1"/>
  <c r="G937" i="15"/>
  <c r="H937" i="15" s="1"/>
  <c r="G936" i="15"/>
  <c r="H936" i="15" s="1"/>
  <c r="G935" i="15"/>
  <c r="H935" i="15" s="1"/>
  <c r="G934" i="15"/>
  <c r="H934" i="15" s="1"/>
  <c r="G933" i="15"/>
  <c r="H933" i="15" s="1"/>
  <c r="G932" i="15"/>
  <c r="H932" i="15" s="1"/>
  <c r="G931" i="15"/>
  <c r="H931" i="15" s="1"/>
  <c r="G930" i="15"/>
  <c r="H930" i="15" s="1"/>
  <c r="G929" i="15"/>
  <c r="H929" i="15" s="1"/>
  <c r="G928" i="15"/>
  <c r="H928" i="15" s="1"/>
  <c r="H927" i="15"/>
  <c r="G927" i="15"/>
  <c r="H926" i="15"/>
  <c r="G926" i="15"/>
  <c r="H925" i="15"/>
  <c r="G925" i="15"/>
  <c r="H924" i="15"/>
  <c r="G924" i="15"/>
  <c r="H923" i="15"/>
  <c r="G923" i="15"/>
  <c r="H922" i="15"/>
  <c r="G922" i="15"/>
  <c r="H921" i="15"/>
  <c r="G921" i="15"/>
  <c r="H920" i="15"/>
  <c r="G920" i="15"/>
  <c r="H919" i="15"/>
  <c r="G919" i="15"/>
  <c r="H918" i="15"/>
  <c r="G918" i="15"/>
  <c r="H917" i="15"/>
  <c r="G917" i="15"/>
  <c r="G916" i="15"/>
  <c r="H916" i="15" s="1"/>
  <c r="G915" i="15"/>
  <c r="H915" i="15" s="1"/>
  <c r="H914" i="15"/>
  <c r="G914" i="15"/>
  <c r="G913" i="15"/>
  <c r="H913" i="15" s="1"/>
  <c r="H912" i="15"/>
  <c r="G912" i="15"/>
  <c r="H911" i="15"/>
  <c r="G911" i="15"/>
  <c r="H910" i="15"/>
  <c r="G910" i="15"/>
  <c r="H909" i="15"/>
  <c r="G909" i="15"/>
  <c r="G908" i="15"/>
  <c r="H908" i="15" s="1"/>
  <c r="G907" i="15"/>
  <c r="H907" i="15" s="1"/>
  <c r="G906" i="15"/>
  <c r="H906" i="15" s="1"/>
  <c r="H905" i="15"/>
  <c r="G905" i="15"/>
  <c r="H904" i="15"/>
  <c r="G904" i="15"/>
  <c r="H903" i="15"/>
  <c r="G903" i="15"/>
  <c r="G902" i="15"/>
  <c r="H902" i="15" s="1"/>
  <c r="G901" i="15"/>
  <c r="H901" i="15" s="1"/>
  <c r="G900" i="15"/>
  <c r="H900" i="15" s="1"/>
  <c r="G899" i="15"/>
  <c r="H899" i="15" s="1"/>
  <c r="G898" i="15"/>
  <c r="H898" i="15" s="1"/>
  <c r="G897" i="15"/>
  <c r="H897" i="15" s="1"/>
  <c r="G896" i="15"/>
  <c r="H896" i="15" s="1"/>
  <c r="G895" i="15"/>
  <c r="H895" i="15" s="1"/>
  <c r="G894" i="15"/>
  <c r="H894" i="15" s="1"/>
  <c r="G893" i="15"/>
  <c r="H893" i="15" s="1"/>
  <c r="H892" i="15"/>
  <c r="G892" i="15"/>
  <c r="G891" i="15"/>
  <c r="H891" i="15" s="1"/>
  <c r="G890" i="15"/>
  <c r="H890" i="15" s="1"/>
  <c r="H889" i="15"/>
  <c r="G889" i="15"/>
  <c r="G888" i="15"/>
  <c r="H888" i="15" s="1"/>
  <c r="G887" i="15"/>
  <c r="H887" i="15" s="1"/>
  <c r="G886" i="15"/>
  <c r="H886" i="15" s="1"/>
  <c r="G885" i="15"/>
  <c r="H885" i="15" s="1"/>
  <c r="H884" i="15"/>
  <c r="G884" i="15"/>
  <c r="G883" i="15"/>
  <c r="H883" i="15" s="1"/>
  <c r="G882" i="15"/>
  <c r="H882" i="15" s="1"/>
  <c r="G881" i="15"/>
  <c r="H881" i="15" s="1"/>
  <c r="H880" i="15"/>
  <c r="G880" i="15"/>
  <c r="G879" i="15"/>
  <c r="H879" i="15" s="1"/>
  <c r="G878" i="15"/>
  <c r="H878" i="15" s="1"/>
  <c r="G877" i="15"/>
  <c r="H877" i="15" s="1"/>
  <c r="G876" i="15"/>
  <c r="H876" i="15" s="1"/>
  <c r="H875" i="15"/>
  <c r="G875" i="15"/>
  <c r="G874" i="15"/>
  <c r="H874" i="15" s="1"/>
  <c r="H873" i="15"/>
  <c r="G873" i="15"/>
  <c r="G872" i="15"/>
  <c r="H872" i="15" s="1"/>
  <c r="G871" i="15"/>
  <c r="H871" i="15" s="1"/>
  <c r="G870" i="15"/>
  <c r="H870" i="15" s="1"/>
  <c r="H869" i="15"/>
  <c r="G869" i="15"/>
  <c r="G868" i="15"/>
  <c r="H868" i="15" s="1"/>
  <c r="G867" i="15"/>
  <c r="H867" i="15" s="1"/>
  <c r="G866" i="15"/>
  <c r="H866" i="15" s="1"/>
  <c r="G865" i="15"/>
  <c r="H865" i="15" s="1"/>
  <c r="H864" i="15"/>
  <c r="G864" i="15"/>
  <c r="H863" i="15"/>
  <c r="G863" i="15"/>
  <c r="H862" i="15"/>
  <c r="G862" i="15"/>
  <c r="G861" i="15"/>
  <c r="H861" i="15" s="1"/>
  <c r="G860" i="15"/>
  <c r="H860" i="15" s="1"/>
  <c r="H859" i="15"/>
  <c r="G859" i="15"/>
  <c r="G858" i="15"/>
  <c r="H858" i="15" s="1"/>
  <c r="G857" i="15"/>
  <c r="H857" i="15" s="1"/>
  <c r="G856" i="15"/>
  <c r="H856" i="15" s="1"/>
  <c r="G855" i="15"/>
  <c r="H855" i="15" s="1"/>
  <c r="H854" i="15"/>
  <c r="G854" i="15"/>
  <c r="H853" i="15"/>
  <c r="G853" i="15"/>
  <c r="G852" i="15"/>
  <c r="H852" i="15" s="1"/>
  <c r="H851" i="15"/>
  <c r="G851" i="15"/>
  <c r="G850" i="15"/>
  <c r="H850" i="15" s="1"/>
  <c r="G849" i="15"/>
  <c r="H849" i="15" s="1"/>
  <c r="G848" i="15"/>
  <c r="H848" i="15" s="1"/>
  <c r="G847" i="15"/>
  <c r="H847" i="15" s="1"/>
  <c r="G846" i="15"/>
  <c r="H846" i="15" s="1"/>
  <c r="G845" i="15"/>
  <c r="H845" i="15" s="1"/>
  <c r="G844" i="15"/>
  <c r="H844" i="15" s="1"/>
  <c r="G843" i="15"/>
  <c r="H843" i="15" s="1"/>
  <c r="G842" i="15"/>
  <c r="H842" i="15" s="1"/>
  <c r="G841" i="15"/>
  <c r="H841" i="15" s="1"/>
  <c r="G840" i="15"/>
  <c r="H840" i="15" s="1"/>
  <c r="G839" i="15"/>
  <c r="H839" i="15" s="1"/>
  <c r="G838" i="15"/>
  <c r="H838" i="15" s="1"/>
  <c r="H837" i="15"/>
  <c r="G837" i="15"/>
  <c r="G836" i="15"/>
  <c r="H836" i="15" s="1"/>
  <c r="G835" i="15"/>
  <c r="H835" i="15" s="1"/>
  <c r="G834" i="15"/>
  <c r="H834" i="15" s="1"/>
  <c r="G832" i="15"/>
  <c r="H832" i="15" s="1"/>
  <c r="H831" i="15"/>
  <c r="G831" i="15"/>
  <c r="G830" i="15"/>
  <c r="H830" i="15" s="1"/>
  <c r="G829" i="15"/>
  <c r="H829" i="15" s="1"/>
  <c r="G828" i="15"/>
  <c r="H828" i="15" s="1"/>
  <c r="H827" i="15"/>
  <c r="G827" i="15"/>
  <c r="G826" i="15"/>
  <c r="H826" i="15" s="1"/>
  <c r="G825" i="15"/>
  <c r="H825" i="15" s="1"/>
  <c r="G824" i="15"/>
  <c r="H824" i="15" s="1"/>
  <c r="G823" i="15"/>
  <c r="H823" i="15" s="1"/>
  <c r="G822" i="15"/>
  <c r="H822" i="15" s="1"/>
  <c r="G821" i="15"/>
  <c r="H821" i="15" s="1"/>
  <c r="G820" i="15"/>
  <c r="H820" i="15" s="1"/>
  <c r="G819" i="15"/>
  <c r="H819" i="15" s="1"/>
  <c r="G818" i="15"/>
  <c r="H818" i="15" s="1"/>
  <c r="G817" i="15"/>
  <c r="H817" i="15" s="1"/>
  <c r="G816" i="15"/>
  <c r="H816" i="15" s="1"/>
  <c r="G815" i="15"/>
  <c r="H815" i="15" s="1"/>
  <c r="H814" i="15"/>
  <c r="G814" i="15"/>
  <c r="G813" i="15"/>
  <c r="H813" i="15" s="1"/>
  <c r="H812" i="15"/>
  <c r="G812" i="15"/>
  <c r="G811" i="15"/>
  <c r="H811" i="15" s="1"/>
  <c r="H810" i="15"/>
  <c r="G810" i="15"/>
  <c r="B52" i="15" l="1"/>
  <c r="Z63" i="20" l="1"/>
  <c r="Z62" i="20"/>
  <c r="Z61" i="20"/>
  <c r="Z60" i="20"/>
  <c r="Z59" i="20"/>
  <c r="Z58" i="20"/>
  <c r="Z57" i="20"/>
  <c r="Z56" i="20"/>
  <c r="Z52" i="20"/>
  <c r="Z51" i="20"/>
  <c r="Z50" i="20"/>
  <c r="Z48" i="20"/>
  <c r="Z47" i="20"/>
  <c r="Z46" i="20"/>
  <c r="Z45" i="20"/>
  <c r="Z41" i="20"/>
  <c r="Z40" i="20"/>
  <c r="Z39" i="20"/>
  <c r="Z38" i="20"/>
  <c r="Z37" i="20"/>
  <c r="Z35" i="20"/>
  <c r="Z155" i="20" l="1"/>
  <c r="V155" i="18"/>
  <c r="Y155" i="18" s="1"/>
  <c r="AB155" i="20" l="1"/>
  <c r="V196" i="18" l="1"/>
  <c r="Y196" i="18" s="1"/>
  <c r="V195" i="18"/>
  <c r="Y195" i="18" s="1"/>
  <c r="V192" i="18"/>
  <c r="Y192" i="18" s="1"/>
  <c r="V191" i="18"/>
  <c r="Y191" i="18" s="1"/>
  <c r="V188" i="18"/>
  <c r="Y188" i="18" s="1"/>
  <c r="V187" i="18"/>
  <c r="Y187" i="18" s="1"/>
  <c r="T197" i="18"/>
  <c r="S197" i="18"/>
  <c r="Q197" i="18"/>
  <c r="P197" i="18"/>
  <c r="N197" i="18"/>
  <c r="M197" i="18"/>
  <c r="K197" i="18"/>
  <c r="J197" i="18"/>
  <c r="I197" i="18"/>
  <c r="T193" i="18"/>
  <c r="S193" i="18"/>
  <c r="Q193" i="18"/>
  <c r="P193" i="18"/>
  <c r="N193" i="18"/>
  <c r="M193" i="18"/>
  <c r="K193" i="18"/>
  <c r="J193" i="18"/>
  <c r="I193" i="18"/>
  <c r="T189" i="18"/>
  <c r="S189" i="18"/>
  <c r="Q189" i="18"/>
  <c r="P189" i="18"/>
  <c r="N189" i="18"/>
  <c r="M189" i="18"/>
  <c r="K189" i="18"/>
  <c r="J189" i="18"/>
  <c r="I189" i="18"/>
  <c r="Y193" i="18" l="1"/>
  <c r="N199" i="18"/>
  <c r="Y189" i="18"/>
  <c r="M199" i="18"/>
  <c r="T199" i="18"/>
  <c r="Q199" i="18"/>
  <c r="I199" i="18"/>
  <c r="Y197" i="18"/>
  <c r="P199" i="18"/>
  <c r="K199" i="18"/>
  <c r="J199" i="18"/>
  <c r="V189" i="18"/>
  <c r="S199" i="18"/>
  <c r="V197" i="18"/>
  <c r="V193" i="18"/>
  <c r="Y199" i="18" l="1"/>
  <c r="V199" i="18"/>
  <c r="B9" i="21" l="1"/>
  <c r="F43" i="15" l="1"/>
  <c r="E20" i="3" s="1"/>
  <c r="D40" i="20" l="1"/>
  <c r="V40" i="18"/>
  <c r="AB40" i="20" s="1"/>
  <c r="Y40" i="18" l="1"/>
  <c r="S17" i="18" l="1"/>
  <c r="W53" i="15" l="1"/>
  <c r="W54" i="15"/>
  <c r="W55" i="15"/>
  <c r="W56" i="15"/>
  <c r="W57" i="15"/>
  <c r="W58" i="15"/>
  <c r="W59" i="15"/>
  <c r="W60" i="15"/>
  <c r="W61" i="15"/>
  <c r="W62" i="15"/>
  <c r="W63" i="15"/>
  <c r="W64" i="15"/>
  <c r="W65" i="15"/>
  <c r="W66" i="15"/>
  <c r="W67" i="15"/>
  <c r="W68" i="15"/>
  <c r="W69" i="15"/>
  <c r="W70" i="15"/>
  <c r="W71" i="15"/>
  <c r="W72" i="15"/>
  <c r="W73" i="15"/>
  <c r="W74" i="15"/>
  <c r="W75" i="15"/>
  <c r="W76" i="15"/>
  <c r="W77" i="15"/>
  <c r="W78" i="15"/>
  <c r="W79" i="15"/>
  <c r="W80" i="15"/>
  <c r="W81" i="15"/>
  <c r="W82" i="15"/>
  <c r="W83" i="15"/>
  <c r="W84" i="15"/>
  <c r="W85" i="15"/>
  <c r="W86" i="15"/>
  <c r="W87" i="15"/>
  <c r="W88" i="15"/>
  <c r="W89" i="15"/>
  <c r="W90" i="15"/>
  <c r="W91" i="15"/>
  <c r="W92" i="15"/>
  <c r="W93" i="15"/>
  <c r="W94" i="15"/>
  <c r="W95" i="15"/>
  <c r="W96" i="15"/>
  <c r="W97" i="15"/>
  <c r="W98" i="15"/>
  <c r="W99" i="15"/>
  <c r="W100" i="15"/>
  <c r="W101" i="15"/>
  <c r="W52" i="15"/>
  <c r="V53" i="15"/>
  <c r="V54" i="15"/>
  <c r="V55" i="15"/>
  <c r="V56" i="15"/>
  <c r="V57" i="15"/>
  <c r="V58" i="15"/>
  <c r="V59" i="15"/>
  <c r="V60" i="15"/>
  <c r="V61" i="15"/>
  <c r="V62" i="15"/>
  <c r="V63" i="15"/>
  <c r="V64" i="15"/>
  <c r="V65" i="15"/>
  <c r="V66" i="15"/>
  <c r="V67" i="15"/>
  <c r="V68" i="15"/>
  <c r="V69" i="15"/>
  <c r="V70" i="15"/>
  <c r="V71" i="15"/>
  <c r="V72" i="15"/>
  <c r="V73" i="15"/>
  <c r="V74" i="15"/>
  <c r="V75" i="15"/>
  <c r="V76" i="15"/>
  <c r="V77" i="15"/>
  <c r="V78" i="15"/>
  <c r="V79" i="15"/>
  <c r="V80" i="15"/>
  <c r="V81" i="15"/>
  <c r="V82" i="15"/>
  <c r="V83" i="15"/>
  <c r="V84" i="15"/>
  <c r="V85" i="15"/>
  <c r="V86" i="15"/>
  <c r="V87" i="15"/>
  <c r="V88" i="15"/>
  <c r="V89" i="15"/>
  <c r="V90" i="15"/>
  <c r="V91" i="15"/>
  <c r="V92" i="15"/>
  <c r="V93" i="15"/>
  <c r="V94" i="15"/>
  <c r="V95" i="15"/>
  <c r="V96" i="15"/>
  <c r="V97" i="15"/>
  <c r="V98" i="15"/>
  <c r="V99" i="15"/>
  <c r="V100" i="15"/>
  <c r="V101" i="15"/>
  <c r="V52" i="15"/>
  <c r="U53" i="15"/>
  <c r="U54" i="15"/>
  <c r="U55" i="15"/>
  <c r="U56" i="15"/>
  <c r="U57" i="15"/>
  <c r="U58" i="15"/>
  <c r="U59" i="15"/>
  <c r="U60" i="15"/>
  <c r="U61" i="15"/>
  <c r="U62" i="15"/>
  <c r="U63" i="15"/>
  <c r="U64" i="15"/>
  <c r="U65" i="15"/>
  <c r="U66" i="15"/>
  <c r="U67" i="15"/>
  <c r="U68" i="15"/>
  <c r="U69" i="15"/>
  <c r="U70" i="15"/>
  <c r="U71" i="15"/>
  <c r="U72" i="15"/>
  <c r="U73" i="15"/>
  <c r="U74" i="15"/>
  <c r="U75" i="15"/>
  <c r="U76" i="15"/>
  <c r="U77" i="15"/>
  <c r="U78" i="15"/>
  <c r="U79" i="15"/>
  <c r="U80" i="15"/>
  <c r="U81" i="15"/>
  <c r="U82" i="15"/>
  <c r="U83" i="15"/>
  <c r="U84" i="15"/>
  <c r="U85" i="15"/>
  <c r="U86" i="15"/>
  <c r="U87" i="15"/>
  <c r="U88" i="15"/>
  <c r="U89" i="15"/>
  <c r="U90" i="15"/>
  <c r="U91" i="15"/>
  <c r="U92" i="15"/>
  <c r="U93" i="15"/>
  <c r="U94" i="15"/>
  <c r="U95" i="15"/>
  <c r="U96" i="15"/>
  <c r="U97" i="15"/>
  <c r="U98" i="15"/>
  <c r="U99" i="15"/>
  <c r="U100" i="15"/>
  <c r="U101" i="15"/>
  <c r="U52" i="15"/>
  <c r="T53" i="15"/>
  <c r="T54" i="15"/>
  <c r="T55" i="15"/>
  <c r="T56" i="15"/>
  <c r="T57" i="15"/>
  <c r="T58" i="15"/>
  <c r="T59" i="15"/>
  <c r="T60" i="15"/>
  <c r="T61" i="15"/>
  <c r="T62" i="15"/>
  <c r="T63" i="15"/>
  <c r="T64" i="15"/>
  <c r="T65" i="15"/>
  <c r="T66" i="15"/>
  <c r="T67" i="15"/>
  <c r="T68" i="15"/>
  <c r="T69" i="15"/>
  <c r="T70" i="15"/>
  <c r="T71" i="15"/>
  <c r="T72" i="15"/>
  <c r="T73" i="15"/>
  <c r="T74" i="15"/>
  <c r="T75" i="15"/>
  <c r="T76" i="15"/>
  <c r="T77" i="15"/>
  <c r="T78" i="15"/>
  <c r="T79" i="15"/>
  <c r="T80" i="15"/>
  <c r="T81" i="15"/>
  <c r="T82" i="15"/>
  <c r="T83" i="15"/>
  <c r="T84" i="15"/>
  <c r="T85" i="15"/>
  <c r="T86" i="15"/>
  <c r="T87" i="15"/>
  <c r="T88" i="15"/>
  <c r="T89" i="15"/>
  <c r="T90" i="15"/>
  <c r="T91" i="15"/>
  <c r="T92" i="15"/>
  <c r="T93" i="15"/>
  <c r="T94" i="15"/>
  <c r="T95" i="15"/>
  <c r="T96" i="15"/>
  <c r="T97" i="15"/>
  <c r="T98" i="15"/>
  <c r="T99" i="15"/>
  <c r="T100" i="15"/>
  <c r="T101" i="15"/>
  <c r="T52" i="15"/>
  <c r="T17" i="18" l="1"/>
  <c r="C9" i="3" l="1"/>
  <c r="J163" i="18" l="1"/>
  <c r="K163" i="18"/>
  <c r="J164" i="18"/>
  <c r="K164" i="18"/>
  <c r="J165" i="18"/>
  <c r="K165" i="18"/>
  <c r="J166" i="18"/>
  <c r="K166" i="18"/>
  <c r="J167" i="18"/>
  <c r="K167" i="18"/>
  <c r="J168" i="18"/>
  <c r="K168" i="18"/>
  <c r="J169" i="18"/>
  <c r="K169" i="18"/>
  <c r="J170" i="18"/>
  <c r="K170" i="18"/>
  <c r="J171" i="18"/>
  <c r="K171" i="18"/>
  <c r="J172" i="18"/>
  <c r="K172" i="18"/>
  <c r="J173" i="18"/>
  <c r="K173" i="18"/>
  <c r="J174" i="18"/>
  <c r="K174" i="18"/>
  <c r="J175" i="18"/>
  <c r="K175" i="18"/>
  <c r="J176" i="18"/>
  <c r="K176" i="18"/>
  <c r="J177" i="18"/>
  <c r="K177" i="18"/>
  <c r="M163" i="18"/>
  <c r="N163" i="18"/>
  <c r="M164" i="18"/>
  <c r="N164" i="18"/>
  <c r="M165" i="18"/>
  <c r="N165" i="18"/>
  <c r="M166" i="18"/>
  <c r="N166" i="18"/>
  <c r="M167" i="18"/>
  <c r="N167" i="18"/>
  <c r="M168" i="18"/>
  <c r="N168" i="18"/>
  <c r="M169" i="18"/>
  <c r="N169" i="18"/>
  <c r="M170" i="18"/>
  <c r="N170" i="18"/>
  <c r="M171" i="18"/>
  <c r="N171" i="18"/>
  <c r="M172" i="18"/>
  <c r="N172" i="18"/>
  <c r="M173" i="18"/>
  <c r="N173" i="18"/>
  <c r="M174" i="18"/>
  <c r="N174" i="18"/>
  <c r="M175" i="18"/>
  <c r="N175" i="18"/>
  <c r="M176" i="18"/>
  <c r="N176" i="18"/>
  <c r="M177" i="18"/>
  <c r="N177" i="18"/>
  <c r="P163" i="18"/>
  <c r="Q163" i="18"/>
  <c r="P164" i="18"/>
  <c r="Q164" i="18"/>
  <c r="P165" i="18"/>
  <c r="Q165" i="18"/>
  <c r="P166" i="18"/>
  <c r="Q166" i="18"/>
  <c r="P167" i="18"/>
  <c r="Q167" i="18"/>
  <c r="P168" i="18"/>
  <c r="Q168" i="18"/>
  <c r="P169" i="18"/>
  <c r="Q169" i="18"/>
  <c r="P170" i="18"/>
  <c r="Q170" i="18"/>
  <c r="P171" i="18"/>
  <c r="Q171" i="18"/>
  <c r="P172" i="18"/>
  <c r="Q172" i="18"/>
  <c r="P173" i="18"/>
  <c r="Q173" i="18"/>
  <c r="P174" i="18"/>
  <c r="Q174" i="18"/>
  <c r="P175" i="18"/>
  <c r="Q175" i="18"/>
  <c r="P176" i="18"/>
  <c r="Q176" i="18"/>
  <c r="P177" i="18"/>
  <c r="Q177" i="18"/>
  <c r="S163" i="18"/>
  <c r="T163" i="18"/>
  <c r="S164" i="18"/>
  <c r="T164" i="18"/>
  <c r="S165" i="18"/>
  <c r="T165" i="18"/>
  <c r="S166" i="18"/>
  <c r="T166" i="18"/>
  <c r="S167" i="18"/>
  <c r="T167" i="18"/>
  <c r="S168" i="18"/>
  <c r="T168" i="18"/>
  <c r="S169" i="18"/>
  <c r="T169" i="18"/>
  <c r="S170" i="18"/>
  <c r="T170" i="18"/>
  <c r="S171" i="18"/>
  <c r="T171" i="18"/>
  <c r="S172" i="18"/>
  <c r="T172" i="18"/>
  <c r="S173" i="18"/>
  <c r="T173" i="18"/>
  <c r="S174" i="18"/>
  <c r="T174" i="18"/>
  <c r="S175" i="18"/>
  <c r="T175" i="18"/>
  <c r="S176" i="18"/>
  <c r="T176" i="18"/>
  <c r="S177" i="18"/>
  <c r="T177" i="18"/>
  <c r="I34" i="18"/>
  <c r="I42" i="18" s="1"/>
  <c r="M32" i="14"/>
  <c r="L32" i="14"/>
  <c r="K32" i="14"/>
  <c r="J32" i="14"/>
  <c r="I32" i="14"/>
  <c r="H32" i="14"/>
  <c r="G32" i="14"/>
  <c r="F32" i="14"/>
  <c r="R178" i="20" l="1"/>
  <c r="O178" i="20"/>
  <c r="L178" i="20"/>
  <c r="R164" i="20"/>
  <c r="R165" i="20"/>
  <c r="R166" i="20"/>
  <c r="R167" i="20"/>
  <c r="R168" i="20"/>
  <c r="R169" i="20"/>
  <c r="R170" i="20"/>
  <c r="R171" i="20"/>
  <c r="R172" i="20"/>
  <c r="R173" i="20"/>
  <c r="R174" i="20"/>
  <c r="R175" i="20"/>
  <c r="R176" i="20"/>
  <c r="R177" i="20"/>
  <c r="O164" i="20"/>
  <c r="O165" i="20"/>
  <c r="O166" i="20"/>
  <c r="O167" i="20"/>
  <c r="O168" i="20"/>
  <c r="O169" i="20"/>
  <c r="O170" i="20"/>
  <c r="O171" i="20"/>
  <c r="O172" i="20"/>
  <c r="O173" i="20"/>
  <c r="O174" i="20"/>
  <c r="O175" i="20"/>
  <c r="O176" i="20"/>
  <c r="O177" i="20"/>
  <c r="R163" i="20"/>
  <c r="O163" i="20"/>
  <c r="L164" i="20"/>
  <c r="L165" i="20"/>
  <c r="L166" i="20"/>
  <c r="L167" i="20"/>
  <c r="L168" i="20"/>
  <c r="L169" i="20"/>
  <c r="L170" i="20"/>
  <c r="L171" i="20"/>
  <c r="L172" i="20"/>
  <c r="L173" i="20"/>
  <c r="L174" i="20"/>
  <c r="L175" i="20"/>
  <c r="L176" i="20"/>
  <c r="L177" i="20"/>
  <c r="L163" i="20"/>
  <c r="I178" i="20"/>
  <c r="I164" i="20"/>
  <c r="I165" i="20"/>
  <c r="I166" i="20"/>
  <c r="I167" i="20"/>
  <c r="I168" i="20"/>
  <c r="I169" i="20"/>
  <c r="I170" i="20"/>
  <c r="I171" i="20"/>
  <c r="I172" i="20"/>
  <c r="I173" i="20"/>
  <c r="I174" i="20"/>
  <c r="I175" i="20"/>
  <c r="I176" i="20"/>
  <c r="I177" i="20"/>
  <c r="I163" i="20"/>
  <c r="C42" i="20"/>
  <c r="D41" i="20"/>
  <c r="E39" i="20"/>
  <c r="E38" i="20"/>
  <c r="E37" i="20"/>
  <c r="D36" i="20"/>
  <c r="D35" i="20"/>
  <c r="D34" i="20"/>
  <c r="D17" i="20"/>
  <c r="R77" i="20" l="1"/>
  <c r="R96" i="20"/>
  <c r="L96" i="20"/>
  <c r="L88" i="20"/>
  <c r="O96" i="20"/>
  <c r="O88" i="20"/>
  <c r="R88" i="20"/>
  <c r="O77" i="20"/>
  <c r="L77" i="20"/>
  <c r="Z10" i="20"/>
  <c r="G92" i="18"/>
  <c r="G93" i="18"/>
  <c r="G94" i="18"/>
  <c r="G95" i="18"/>
  <c r="G91" i="18"/>
  <c r="G72" i="18"/>
  <c r="G73" i="18"/>
  <c r="G74" i="18"/>
  <c r="G75" i="18"/>
  <c r="G76" i="18"/>
  <c r="G71" i="18"/>
  <c r="R42" i="14"/>
  <c r="Q42" i="14"/>
  <c r="P42" i="14"/>
  <c r="O42" i="14"/>
  <c r="M42" i="14"/>
  <c r="L42" i="14"/>
  <c r="K42" i="14"/>
  <c r="J42" i="14"/>
  <c r="I42" i="14"/>
  <c r="H42" i="14"/>
  <c r="G42" i="14"/>
  <c r="F42" i="14"/>
  <c r="D42" i="14"/>
  <c r="R32" i="14"/>
  <c r="Q32" i="14"/>
  <c r="P32" i="14"/>
  <c r="O32" i="14"/>
  <c r="D32" i="14"/>
  <c r="G85" i="18"/>
  <c r="G84" i="18"/>
  <c r="G83" i="18"/>
  <c r="G82" i="18"/>
  <c r="R19" i="14"/>
  <c r="Q19" i="14"/>
  <c r="P19" i="14"/>
  <c r="O19" i="14"/>
  <c r="M19" i="14"/>
  <c r="L19" i="14"/>
  <c r="K19" i="14"/>
  <c r="J19" i="14"/>
  <c r="I19" i="14"/>
  <c r="H19" i="14"/>
  <c r="G19" i="14"/>
  <c r="F19" i="14"/>
  <c r="D19" i="14"/>
  <c r="L98" i="20" l="1"/>
  <c r="R98" i="20"/>
  <c r="Q44" i="14"/>
  <c r="P44" i="14"/>
  <c r="O44" i="14"/>
  <c r="D44" i="14"/>
  <c r="R44" i="14"/>
  <c r="O98" i="20"/>
  <c r="G81" i="18"/>
  <c r="G80" i="18"/>
  <c r="G86" i="18"/>
  <c r="L44" i="14"/>
  <c r="J44" i="14"/>
  <c r="M44" i="14"/>
  <c r="I44" i="14"/>
  <c r="K44" i="14"/>
  <c r="H44" i="14"/>
  <c r="F44" i="14"/>
  <c r="G87" i="18"/>
  <c r="G44" i="14"/>
  <c r="E16" i="21"/>
  <c r="I162" i="18" s="1"/>
  <c r="S16" i="21"/>
  <c r="R16" i="21"/>
  <c r="Q16" i="21"/>
  <c r="P16" i="21"/>
  <c r="H16" i="21"/>
  <c r="K162" i="18" s="1"/>
  <c r="I16" i="21"/>
  <c r="M162" i="18" s="1"/>
  <c r="J16" i="21"/>
  <c r="N162" i="18" s="1"/>
  <c r="K16" i="21"/>
  <c r="P162" i="18" s="1"/>
  <c r="L16" i="21"/>
  <c r="Q162" i="18" s="1"/>
  <c r="M16" i="21"/>
  <c r="S162" i="18" s="1"/>
  <c r="N16" i="21"/>
  <c r="T162" i="18" s="1"/>
  <c r="G16" i="21"/>
  <c r="J162" i="18" s="1"/>
  <c r="S17" i="21"/>
  <c r="R17" i="21"/>
  <c r="Q17" i="21"/>
  <c r="P17" i="21"/>
  <c r="N17" i="21"/>
  <c r="M17" i="21"/>
  <c r="L17" i="21"/>
  <c r="K17" i="21"/>
  <c r="J17" i="21"/>
  <c r="I17" i="21"/>
  <c r="H17" i="21"/>
  <c r="E17" i="21"/>
  <c r="G17" i="21"/>
  <c r="T178" i="18"/>
  <c r="S178" i="18"/>
  <c r="Z178" i="20" s="1"/>
  <c r="Q178" i="18"/>
  <c r="P178" i="18"/>
  <c r="N178" i="18"/>
  <c r="M178" i="18"/>
  <c r="Z164" i="20"/>
  <c r="Z165" i="20"/>
  <c r="Z166" i="20"/>
  <c r="Z167" i="20"/>
  <c r="Z168" i="20"/>
  <c r="Z169" i="20"/>
  <c r="Z170" i="20"/>
  <c r="Z171" i="20"/>
  <c r="Z172" i="20"/>
  <c r="Z173" i="20"/>
  <c r="Z174" i="20"/>
  <c r="Z175" i="20"/>
  <c r="Z176" i="20"/>
  <c r="Z177" i="20"/>
  <c r="Z163" i="20"/>
  <c r="J178" i="18"/>
  <c r="K178" i="18"/>
  <c r="I178" i="18"/>
  <c r="I164" i="18"/>
  <c r="I165" i="18"/>
  <c r="I166" i="18"/>
  <c r="I167" i="18"/>
  <c r="I168" i="18"/>
  <c r="I169" i="18"/>
  <c r="I170" i="18"/>
  <c r="I171" i="18"/>
  <c r="I172" i="18"/>
  <c r="I173" i="18"/>
  <c r="I174" i="18"/>
  <c r="I175" i="18"/>
  <c r="I176" i="18"/>
  <c r="I177" i="18"/>
  <c r="I163" i="18"/>
  <c r="G93" i="20" l="1"/>
  <c r="G91" i="20"/>
  <c r="G92" i="20"/>
  <c r="G94" i="20"/>
  <c r="G95" i="20"/>
  <c r="G84" i="20"/>
  <c r="G81" i="20"/>
  <c r="G85" i="20"/>
  <c r="G80" i="20"/>
  <c r="G83" i="20"/>
  <c r="G87" i="20"/>
  <c r="G82" i="20"/>
  <c r="G86" i="20"/>
  <c r="G75" i="20"/>
  <c r="G72" i="20"/>
  <c r="G76" i="20"/>
  <c r="G74" i="20"/>
  <c r="G73" i="20"/>
  <c r="G71" i="20"/>
  <c r="G69" i="20"/>
  <c r="E91" i="15"/>
  <c r="E83" i="15"/>
  <c r="E63" i="15"/>
  <c r="E55" i="15"/>
  <c r="E101" i="15"/>
  <c r="E97" i="15"/>
  <c r="E93" i="15"/>
  <c r="E89" i="15"/>
  <c r="E85" i="15"/>
  <c r="E81" i="15"/>
  <c r="E77" i="15"/>
  <c r="E73" i="15"/>
  <c r="E69" i="15"/>
  <c r="E65" i="15"/>
  <c r="E61" i="15"/>
  <c r="E57" i="15"/>
  <c r="E53" i="15"/>
  <c r="E64" i="15"/>
  <c r="E60" i="15"/>
  <c r="E56" i="15"/>
  <c r="E95" i="15"/>
  <c r="E87" i="15"/>
  <c r="E59" i="15"/>
  <c r="E52" i="15"/>
  <c r="E98" i="15"/>
  <c r="E94" i="15"/>
  <c r="E90" i="15"/>
  <c r="E86" i="15"/>
  <c r="E82" i="15"/>
  <c r="E78" i="15"/>
  <c r="E74" i="15"/>
  <c r="E70" i="15"/>
  <c r="E66" i="15"/>
  <c r="E62" i="15"/>
  <c r="E58" i="15"/>
  <c r="E54" i="15"/>
  <c r="E99" i="15"/>
  <c r="E100" i="15"/>
  <c r="E96" i="15"/>
  <c r="E92" i="15"/>
  <c r="E88" i="15"/>
  <c r="E84" i="15"/>
  <c r="E68" i="15"/>
  <c r="E76" i="15"/>
  <c r="E79" i="15"/>
  <c r="E75" i="15"/>
  <c r="E67" i="15"/>
  <c r="E80" i="15"/>
  <c r="E72" i="15"/>
  <c r="E71" i="15"/>
  <c r="R162" i="18"/>
  <c r="O162" i="18"/>
  <c r="U162" i="18"/>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A24" i="2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L162" i="18"/>
  <c r="R179" i="20"/>
  <c r="O179" i="20"/>
  <c r="L179" i="20"/>
  <c r="L9" i="20" s="1"/>
  <c r="I179" i="20"/>
  <c r="U178" i="20"/>
  <c r="U177" i="20"/>
  <c r="U176" i="20"/>
  <c r="AA176" i="20" s="1"/>
  <c r="U175" i="20"/>
  <c r="AA175" i="20" s="1"/>
  <c r="U174" i="20"/>
  <c r="U173" i="20"/>
  <c r="AA173" i="20" s="1"/>
  <c r="U172" i="20"/>
  <c r="AA172" i="20" s="1"/>
  <c r="U171" i="20"/>
  <c r="AA171" i="20" s="1"/>
  <c r="U170" i="20"/>
  <c r="U169" i="20"/>
  <c r="U168" i="20"/>
  <c r="AA168" i="20" s="1"/>
  <c r="U167" i="20"/>
  <c r="AA167" i="20" s="1"/>
  <c r="Z179" i="20"/>
  <c r="U166" i="20"/>
  <c r="U165" i="20"/>
  <c r="AA165" i="20" s="1"/>
  <c r="U164" i="20"/>
  <c r="AA164" i="20" s="1"/>
  <c r="U163" i="20"/>
  <c r="R151" i="20"/>
  <c r="O151" i="20"/>
  <c r="L151" i="20"/>
  <c r="I151" i="20"/>
  <c r="R141" i="20"/>
  <c r="O141" i="20"/>
  <c r="L141" i="20"/>
  <c r="I141" i="20"/>
  <c r="R118" i="20"/>
  <c r="O118" i="20"/>
  <c r="L118" i="20"/>
  <c r="I118" i="20"/>
  <c r="R104" i="20"/>
  <c r="O104" i="20"/>
  <c r="L104" i="20"/>
  <c r="I104" i="20"/>
  <c r="I96" i="20"/>
  <c r="I88" i="20"/>
  <c r="I77" i="20"/>
  <c r="R64" i="20"/>
  <c r="O64" i="20"/>
  <c r="L64" i="20"/>
  <c r="I64" i="20"/>
  <c r="R53" i="20"/>
  <c r="O53" i="20"/>
  <c r="L53" i="20"/>
  <c r="I53" i="20"/>
  <c r="V10" i="20"/>
  <c r="U10" i="20"/>
  <c r="A2" i="20"/>
  <c r="A3" i="20" s="1"/>
  <c r="A4" i="20" s="1"/>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A156" i="20" s="1"/>
  <c r="A157" i="20" s="1"/>
  <c r="A158" i="20" s="1"/>
  <c r="A159" i="20" s="1"/>
  <c r="A160" i="20" s="1"/>
  <c r="A161" i="20" s="1"/>
  <c r="A162" i="20" s="1"/>
  <c r="A163" i="20" s="1"/>
  <c r="A164" i="20" s="1"/>
  <c r="A165" i="20" s="1"/>
  <c r="A166" i="20" s="1"/>
  <c r="A167" i="20" s="1"/>
  <c r="A168" i="20" s="1"/>
  <c r="A169" i="20" s="1"/>
  <c r="A170" i="20" s="1"/>
  <c r="A171" i="20" s="1"/>
  <c r="A172" i="20" s="1"/>
  <c r="A173" i="20" s="1"/>
  <c r="A174" i="20" s="1"/>
  <c r="A175" i="20" s="1"/>
  <c r="A176" i="20" s="1"/>
  <c r="A177" i="20" s="1"/>
  <c r="A178" i="20" s="1"/>
  <c r="A179" i="20" s="1"/>
  <c r="A180" i="20" s="1"/>
  <c r="A181" i="20" s="1"/>
  <c r="A182" i="20" s="1"/>
  <c r="A183" i="20" s="1"/>
  <c r="I106" i="15"/>
  <c r="I105" i="15"/>
  <c r="I104" i="15"/>
  <c r="I103" i="15"/>
  <c r="T179" i="18"/>
  <c r="S179" i="18"/>
  <c r="S9" i="18" s="1"/>
  <c r="Q179" i="18"/>
  <c r="P179" i="18"/>
  <c r="N179" i="18"/>
  <c r="M179" i="18"/>
  <c r="K179" i="18"/>
  <c r="J179" i="18"/>
  <c r="I179" i="18"/>
  <c r="U178" i="18"/>
  <c r="R178" i="18"/>
  <c r="O178" i="18"/>
  <c r="L178" i="18"/>
  <c r="G178" i="18"/>
  <c r="U177" i="18"/>
  <c r="R177" i="18"/>
  <c r="O177" i="18"/>
  <c r="L177" i="18"/>
  <c r="G177" i="18"/>
  <c r="U176" i="18"/>
  <c r="R176" i="18"/>
  <c r="O176" i="18"/>
  <c r="L176" i="18"/>
  <c r="G176" i="18"/>
  <c r="U175" i="18"/>
  <c r="R175" i="18"/>
  <c r="O175" i="18"/>
  <c r="L175" i="18"/>
  <c r="G175" i="18"/>
  <c r="U174" i="18"/>
  <c r="R174" i="18"/>
  <c r="O174" i="18"/>
  <c r="L174" i="18"/>
  <c r="G174" i="18"/>
  <c r="U173" i="18"/>
  <c r="R173" i="18"/>
  <c r="O173" i="18"/>
  <c r="L173" i="18"/>
  <c r="G173" i="18"/>
  <c r="U172" i="18"/>
  <c r="R172" i="18"/>
  <c r="O172" i="18"/>
  <c r="L172" i="18"/>
  <c r="G172" i="18"/>
  <c r="U171" i="18"/>
  <c r="R171" i="18"/>
  <c r="O171" i="18"/>
  <c r="L171" i="18"/>
  <c r="G171" i="18"/>
  <c r="U170" i="18"/>
  <c r="R170" i="18"/>
  <c r="O170" i="18"/>
  <c r="L170" i="18"/>
  <c r="G170" i="18"/>
  <c r="U169" i="18"/>
  <c r="R169" i="18"/>
  <c r="O169" i="18"/>
  <c r="L169" i="18"/>
  <c r="G169" i="18"/>
  <c r="U168" i="18"/>
  <c r="R168" i="18"/>
  <c r="O168" i="18"/>
  <c r="L168" i="18"/>
  <c r="G168" i="18"/>
  <c r="U167" i="18"/>
  <c r="R167" i="18"/>
  <c r="O167" i="18"/>
  <c r="L167" i="18"/>
  <c r="G167" i="18"/>
  <c r="U166" i="18"/>
  <c r="R166" i="18"/>
  <c r="O166" i="18"/>
  <c r="L166" i="18"/>
  <c r="G166" i="18"/>
  <c r="U165" i="18"/>
  <c r="R165" i="18"/>
  <c r="O165" i="18"/>
  <c r="L165" i="18"/>
  <c r="G165" i="18"/>
  <c r="U164" i="18"/>
  <c r="R164" i="18"/>
  <c r="O164" i="18"/>
  <c r="L164" i="18"/>
  <c r="G164" i="18"/>
  <c r="U163" i="18"/>
  <c r="R163" i="18"/>
  <c r="O163" i="18"/>
  <c r="L163" i="18"/>
  <c r="G163" i="18"/>
  <c r="V154" i="18"/>
  <c r="V153" i="18"/>
  <c r="AB153" i="20" s="1"/>
  <c r="T151" i="18"/>
  <c r="S151" i="18"/>
  <c r="Q151" i="18"/>
  <c r="P151" i="18"/>
  <c r="N151" i="18"/>
  <c r="M151" i="18"/>
  <c r="K151" i="18"/>
  <c r="J151" i="18"/>
  <c r="I151" i="18"/>
  <c r="V150" i="18"/>
  <c r="V149" i="18"/>
  <c r="AB149" i="20" s="1"/>
  <c r="V148" i="18"/>
  <c r="V147" i="18"/>
  <c r="AB147" i="20" s="1"/>
  <c r="V146" i="18"/>
  <c r="V145" i="18"/>
  <c r="AB145" i="20" s="1"/>
  <c r="V144" i="18"/>
  <c r="AB144" i="20" s="1"/>
  <c r="T141" i="18"/>
  <c r="S141" i="18"/>
  <c r="Q141" i="18"/>
  <c r="P141" i="18"/>
  <c r="N141" i="18"/>
  <c r="M141" i="18"/>
  <c r="K141" i="18"/>
  <c r="J141" i="18"/>
  <c r="I141" i="18"/>
  <c r="V140" i="18"/>
  <c r="V139" i="18"/>
  <c r="AB139" i="20" s="1"/>
  <c r="V138" i="18"/>
  <c r="V137" i="18"/>
  <c r="AB137" i="20" s="1"/>
  <c r="V136" i="18"/>
  <c r="V135" i="18"/>
  <c r="V134" i="18"/>
  <c r="V133" i="18"/>
  <c r="AB133" i="20" s="1"/>
  <c r="V132" i="18"/>
  <c r="V131" i="18"/>
  <c r="V130" i="18"/>
  <c r="V129" i="18"/>
  <c r="AB129" i="20" s="1"/>
  <c r="V128" i="18"/>
  <c r="V127" i="18"/>
  <c r="V126" i="18"/>
  <c r="V125" i="18"/>
  <c r="AB125" i="20" s="1"/>
  <c r="V124" i="18"/>
  <c r="V123" i="18"/>
  <c r="AB123" i="20" s="1"/>
  <c r="V122" i="18"/>
  <c r="AB122" i="20" s="1"/>
  <c r="V121" i="18"/>
  <c r="AB121" i="20" s="1"/>
  <c r="T118" i="18"/>
  <c r="Q118" i="18"/>
  <c r="N118" i="18"/>
  <c r="K118" i="18"/>
  <c r="I118" i="18"/>
  <c r="V117" i="18"/>
  <c r="V116" i="18"/>
  <c r="AB116" i="20" s="1"/>
  <c r="V115" i="18"/>
  <c r="V114" i="18"/>
  <c r="AB114" i="20" s="1"/>
  <c r="V113" i="18"/>
  <c r="V112" i="18"/>
  <c r="AB112" i="20" s="1"/>
  <c r="V110" i="18"/>
  <c r="AB110" i="20" s="1"/>
  <c r="V109" i="18"/>
  <c r="AB109" i="20" s="1"/>
  <c r="T104" i="18"/>
  <c r="Q104" i="18"/>
  <c r="N104" i="18"/>
  <c r="K104" i="18"/>
  <c r="I104" i="18"/>
  <c r="V103" i="18"/>
  <c r="V102" i="18"/>
  <c r="AB102" i="20" s="1"/>
  <c r="T96" i="18"/>
  <c r="S96" i="18"/>
  <c r="Q96" i="18"/>
  <c r="P96" i="18"/>
  <c r="N96" i="18"/>
  <c r="M96" i="18"/>
  <c r="K96" i="18"/>
  <c r="J96" i="18"/>
  <c r="I96" i="18"/>
  <c r="G96" i="18"/>
  <c r="V95" i="18"/>
  <c r="AB95" i="20" s="1"/>
  <c r="V94" i="18"/>
  <c r="V93" i="18"/>
  <c r="V92" i="18"/>
  <c r="V91" i="18"/>
  <c r="AB91" i="20" s="1"/>
  <c r="T88" i="18"/>
  <c r="S88" i="18"/>
  <c r="Q88" i="18"/>
  <c r="P88" i="18"/>
  <c r="N88" i="18"/>
  <c r="M88" i="18"/>
  <c r="K88" i="18"/>
  <c r="J88" i="18"/>
  <c r="I88" i="18"/>
  <c r="G88" i="18"/>
  <c r="V87" i="18"/>
  <c r="V86" i="18"/>
  <c r="V85" i="18"/>
  <c r="V84" i="18"/>
  <c r="V83" i="18"/>
  <c r="V82" i="18"/>
  <c r="V81" i="18"/>
  <c r="V80" i="18"/>
  <c r="T77" i="18"/>
  <c r="S77" i="18"/>
  <c r="Q77" i="18"/>
  <c r="P77" i="18"/>
  <c r="N77" i="18"/>
  <c r="M77" i="18"/>
  <c r="K77" i="18"/>
  <c r="J77" i="18"/>
  <c r="I77" i="18"/>
  <c r="G77" i="18"/>
  <c r="V76" i="18"/>
  <c r="V75" i="18"/>
  <c r="V74" i="18"/>
  <c r="V73" i="18"/>
  <c r="V72" i="18"/>
  <c r="V71" i="18"/>
  <c r="T64" i="18"/>
  <c r="S64" i="18"/>
  <c r="Q64" i="18"/>
  <c r="P64" i="18"/>
  <c r="N64" i="18"/>
  <c r="M64" i="18"/>
  <c r="K64" i="18"/>
  <c r="J64" i="18"/>
  <c r="I64" i="18"/>
  <c r="V63" i="18"/>
  <c r="AB63" i="20" s="1"/>
  <c r="V62" i="18"/>
  <c r="V61" i="18"/>
  <c r="AB61" i="20" s="1"/>
  <c r="V60" i="18"/>
  <c r="V59" i="18"/>
  <c r="AB59" i="20" s="1"/>
  <c r="V58" i="18"/>
  <c r="V57" i="18"/>
  <c r="AB57" i="20" s="1"/>
  <c r="V56" i="18"/>
  <c r="T53" i="18"/>
  <c r="S53" i="18"/>
  <c r="Q53" i="18"/>
  <c r="P53" i="18"/>
  <c r="N53" i="18"/>
  <c r="M53" i="18"/>
  <c r="K53" i="18"/>
  <c r="J53" i="18"/>
  <c r="I53" i="18"/>
  <c r="V52" i="18"/>
  <c r="V51" i="18"/>
  <c r="V50" i="18"/>
  <c r="V48" i="18"/>
  <c r="AB48" i="20" s="1"/>
  <c r="V47" i="18"/>
  <c r="V46" i="18"/>
  <c r="AB46" i="20" s="1"/>
  <c r="V45" i="18"/>
  <c r="AB45" i="20" s="1"/>
  <c r="V41" i="18"/>
  <c r="V39" i="18"/>
  <c r="V38" i="18"/>
  <c r="V37" i="18"/>
  <c r="AB37" i="20" s="1"/>
  <c r="V35" i="18"/>
  <c r="U10" i="18"/>
  <c r="R10" i="18"/>
  <c r="O10" i="18"/>
  <c r="L10" i="18"/>
  <c r="A2" i="18"/>
  <c r="A3" i="18" s="1"/>
  <c r="A4" i="18" s="1"/>
  <c r="A5" i="18" s="1"/>
  <c r="A6" i="18" s="1"/>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108" i="18" s="1"/>
  <c r="A109" i="18" s="1"/>
  <c r="A110" i="18" s="1"/>
  <c r="A111" i="18" s="1"/>
  <c r="A112" i="18" s="1"/>
  <c r="A113" i="18" s="1"/>
  <c r="A114" i="18" s="1"/>
  <c r="A115" i="18" s="1"/>
  <c r="A116" i="18" s="1"/>
  <c r="A117" i="18" s="1"/>
  <c r="A118" i="18" s="1"/>
  <c r="A119" i="18" s="1"/>
  <c r="A120" i="18" s="1"/>
  <c r="A121" i="18" s="1"/>
  <c r="A122" i="18" s="1"/>
  <c r="A123" i="18" s="1"/>
  <c r="A124" i="18" s="1"/>
  <c r="A125" i="18" s="1"/>
  <c r="A126" i="18" s="1"/>
  <c r="A127" i="18" s="1"/>
  <c r="A128" i="18" s="1"/>
  <c r="A129" i="18" s="1"/>
  <c r="A130" i="18" s="1"/>
  <c r="A131" i="18" s="1"/>
  <c r="A132" i="18" s="1"/>
  <c r="A133" i="18" s="1"/>
  <c r="A134" i="18" s="1"/>
  <c r="A135" i="18" s="1"/>
  <c r="A136" i="18" s="1"/>
  <c r="A137" i="18" s="1"/>
  <c r="A138" i="18" s="1"/>
  <c r="A139" i="18" s="1"/>
  <c r="A140" i="18" s="1"/>
  <c r="A141" i="18" s="1"/>
  <c r="A142" i="18" s="1"/>
  <c r="A143" i="18" s="1"/>
  <c r="A144" i="18" s="1"/>
  <c r="A145" i="18" s="1"/>
  <c r="A146" i="18" s="1"/>
  <c r="A147" i="18" s="1"/>
  <c r="A148" i="18" s="1"/>
  <c r="A149" i="18" s="1"/>
  <c r="A150" i="18" s="1"/>
  <c r="A151" i="18" s="1"/>
  <c r="A152" i="18" s="1"/>
  <c r="A153" i="18" s="1"/>
  <c r="A154" i="18" s="1"/>
  <c r="A155" i="18" s="1"/>
  <c r="A156" i="18" s="1"/>
  <c r="A157" i="18" s="1"/>
  <c r="A158" i="18" s="1"/>
  <c r="A159" i="18" s="1"/>
  <c r="A160" i="18" s="1"/>
  <c r="A161" i="18" s="1"/>
  <c r="A162" i="18" s="1"/>
  <c r="A163" i="18" s="1"/>
  <c r="A164" i="18" s="1"/>
  <c r="A165" i="18" s="1"/>
  <c r="A166" i="18" s="1"/>
  <c r="A167" i="18" s="1"/>
  <c r="A168" i="18" s="1"/>
  <c r="A169" i="18" s="1"/>
  <c r="A170" i="18" s="1"/>
  <c r="A171" i="18" s="1"/>
  <c r="A172" i="18" s="1"/>
  <c r="A173" i="18" s="1"/>
  <c r="A174" i="18" s="1"/>
  <c r="A175" i="18" s="1"/>
  <c r="A176" i="18" s="1"/>
  <c r="A177" i="18" s="1"/>
  <c r="A178" i="18" s="1"/>
  <c r="A179" i="18" s="1"/>
  <c r="A180" i="18" s="1"/>
  <c r="A181" i="18" s="1"/>
  <c r="A182" i="18" s="1"/>
  <c r="A183" i="18" s="1"/>
  <c r="A184" i="18" s="1"/>
  <c r="A185" i="18" s="1"/>
  <c r="A186" i="18" s="1"/>
  <c r="A187" i="18" s="1"/>
  <c r="A188" i="18" s="1"/>
  <c r="A189" i="18" s="1"/>
  <c r="A190" i="18" s="1"/>
  <c r="A191" i="18" s="1"/>
  <c r="A192" i="18" s="1"/>
  <c r="A193" i="18" s="1"/>
  <c r="A194" i="18" s="1"/>
  <c r="A195" i="18" s="1"/>
  <c r="A196" i="18" s="1"/>
  <c r="A197" i="18" s="1"/>
  <c r="A198" i="18" s="1"/>
  <c r="A199" i="18" s="1"/>
  <c r="A200" i="18" s="1"/>
  <c r="A201" i="18" s="1"/>
  <c r="A202" i="18" s="1"/>
  <c r="A203" i="18" s="1"/>
  <c r="A204" i="18" s="1"/>
  <c r="A205" i="18" s="1"/>
  <c r="J1" i="18"/>
  <c r="K1" i="18" s="1"/>
  <c r="L1" i="18" s="1"/>
  <c r="M1" i="18" s="1"/>
  <c r="N1" i="18" s="1"/>
  <c r="O1" i="18" s="1"/>
  <c r="P1" i="18" s="1"/>
  <c r="Q1" i="18" s="1"/>
  <c r="R1" i="18" s="1"/>
  <c r="S1" i="18" s="1"/>
  <c r="T1" i="18" s="1"/>
  <c r="U1" i="18" s="1"/>
  <c r="V1" i="18" s="1"/>
  <c r="W1" i="18" s="1"/>
  <c r="X1" i="18" s="1"/>
  <c r="Y1" i="18" s="1"/>
  <c r="Z1" i="18" s="1"/>
  <c r="AA1" i="18" s="1"/>
  <c r="J46" i="17"/>
  <c r="I46" i="17"/>
  <c r="H46" i="17"/>
  <c r="G46" i="17"/>
  <c r="E46" i="17"/>
  <c r="J36" i="17"/>
  <c r="J41" i="17" s="1"/>
  <c r="I36" i="17"/>
  <c r="I41" i="17" s="1"/>
  <c r="H36" i="17"/>
  <c r="H41" i="17" s="1"/>
  <c r="G36" i="17"/>
  <c r="G41" i="17" s="1"/>
  <c r="E36" i="17"/>
  <c r="E41" i="17" s="1"/>
  <c r="J16" i="17"/>
  <c r="J24" i="17" s="1"/>
  <c r="I16" i="17"/>
  <c r="I24" i="17" s="1"/>
  <c r="H16" i="17"/>
  <c r="H24" i="17" s="1"/>
  <c r="G16" i="17"/>
  <c r="G24" i="17" s="1"/>
  <c r="E16" i="17"/>
  <c r="E24" i="17" s="1"/>
  <c r="E48" i="17" l="1"/>
  <c r="J48" i="17"/>
  <c r="I48" i="17"/>
  <c r="G48" i="17"/>
  <c r="H48" i="17"/>
  <c r="H50" i="17" s="1"/>
  <c r="C110" i="15"/>
  <c r="C788" i="15"/>
  <c r="C789" i="15"/>
  <c r="U9" i="18"/>
  <c r="Y37" i="18"/>
  <c r="G50" i="17"/>
  <c r="Y56" i="18"/>
  <c r="AB56" i="20"/>
  <c r="Y35" i="18"/>
  <c r="AB35" i="20"/>
  <c r="Y47" i="18"/>
  <c r="AB47" i="20"/>
  <c r="Y62" i="18"/>
  <c r="AB62" i="20"/>
  <c r="Y60" i="18"/>
  <c r="AB60" i="20"/>
  <c r="Y38" i="18"/>
  <c r="AB38" i="20"/>
  <c r="I50" i="17"/>
  <c r="Y39" i="18"/>
  <c r="AB39" i="20"/>
  <c r="Y52" i="18"/>
  <c r="AB52" i="20"/>
  <c r="Y58" i="18"/>
  <c r="AB58" i="20"/>
  <c r="J50" i="17"/>
  <c r="Y50" i="18"/>
  <c r="AB50" i="20"/>
  <c r="Y154" i="18"/>
  <c r="AB154" i="20"/>
  <c r="Y146" i="18"/>
  <c r="AB146" i="20"/>
  <c r="Y150" i="18"/>
  <c r="AB150" i="20"/>
  <c r="Y148" i="18"/>
  <c r="AB148" i="20"/>
  <c r="Y121" i="18"/>
  <c r="Y137" i="18"/>
  <c r="Y129" i="18"/>
  <c r="Y128" i="18"/>
  <c r="AB128" i="20"/>
  <c r="Y131" i="18"/>
  <c r="AB131" i="20"/>
  <c r="Y134" i="18"/>
  <c r="AB134" i="20"/>
  <c r="Y124" i="18"/>
  <c r="AB124" i="20"/>
  <c r="Y127" i="18"/>
  <c r="AB127" i="20"/>
  <c r="Y130" i="18"/>
  <c r="AB130" i="20"/>
  <c r="Y140" i="18"/>
  <c r="AB140" i="20"/>
  <c r="Y133" i="18"/>
  <c r="Y126" i="18"/>
  <c r="AB126" i="20"/>
  <c r="Y136" i="18"/>
  <c r="AB136" i="20"/>
  <c r="Y132" i="18"/>
  <c r="AB132" i="20"/>
  <c r="Y135" i="18"/>
  <c r="AB135" i="20"/>
  <c r="Y138" i="18"/>
  <c r="AB138" i="20"/>
  <c r="Y125" i="18"/>
  <c r="Y115" i="18"/>
  <c r="AB115" i="20"/>
  <c r="Y113" i="18"/>
  <c r="AB113" i="20"/>
  <c r="Y117" i="18"/>
  <c r="AB117" i="20"/>
  <c r="Y103" i="18"/>
  <c r="AB103" i="20"/>
  <c r="Y51" i="18"/>
  <c r="AB51" i="20"/>
  <c r="Y41" i="18"/>
  <c r="AB41" i="20"/>
  <c r="E32" i="20"/>
  <c r="E177" i="20" s="1"/>
  <c r="E28" i="20"/>
  <c r="E173" i="20" s="1"/>
  <c r="E24" i="20"/>
  <c r="E169" i="20" s="1"/>
  <c r="E20" i="20"/>
  <c r="E165" i="20" s="1"/>
  <c r="E31" i="20"/>
  <c r="E176" i="20" s="1"/>
  <c r="E27" i="20"/>
  <c r="E172" i="20" s="1"/>
  <c r="E23" i="20"/>
  <c r="E168" i="20" s="1"/>
  <c r="E29" i="20"/>
  <c r="E174" i="20" s="1"/>
  <c r="E25" i="20"/>
  <c r="E170" i="20" s="1"/>
  <c r="E21" i="20"/>
  <c r="E166" i="20" s="1"/>
  <c r="E30" i="20"/>
  <c r="E175" i="20" s="1"/>
  <c r="E26" i="20"/>
  <c r="E171" i="20" s="1"/>
  <c r="E22" i="20"/>
  <c r="E167" i="20" s="1"/>
  <c r="G96" i="20"/>
  <c r="G77" i="20"/>
  <c r="G88" i="20"/>
  <c r="I98" i="20"/>
  <c r="I106" i="20" s="1"/>
  <c r="I157" i="20" s="1"/>
  <c r="I7" i="20" s="1"/>
  <c r="R106" i="20"/>
  <c r="R157" i="20" s="1"/>
  <c r="R7" i="20" s="1"/>
  <c r="E19" i="18"/>
  <c r="E164" i="18" s="1"/>
  <c r="E19" i="20"/>
  <c r="E164" i="20" s="1"/>
  <c r="O106" i="20"/>
  <c r="O157" i="20" s="1"/>
  <c r="O7" i="20" s="1"/>
  <c r="E18" i="18"/>
  <c r="E163" i="18" s="1"/>
  <c r="E18" i="20"/>
  <c r="E163" i="20" s="1"/>
  <c r="L106" i="20"/>
  <c r="L157" i="20" s="1"/>
  <c r="L7" i="20" s="1"/>
  <c r="Y74" i="18"/>
  <c r="AB74" i="20"/>
  <c r="Y87" i="18"/>
  <c r="AB87" i="20"/>
  <c r="Y73" i="18"/>
  <c r="AB73" i="20"/>
  <c r="Y86" i="18"/>
  <c r="AB86" i="20"/>
  <c r="Y72" i="18"/>
  <c r="AB72" i="20"/>
  <c r="Y76" i="18"/>
  <c r="AB76" i="20"/>
  <c r="Y81" i="18"/>
  <c r="AB81" i="20"/>
  <c r="Y85" i="18"/>
  <c r="AB85" i="20"/>
  <c r="Y94" i="18"/>
  <c r="AB94" i="20"/>
  <c r="Y83" i="18"/>
  <c r="AB83" i="20"/>
  <c r="Y92" i="18"/>
  <c r="AB92" i="20"/>
  <c r="Y82" i="18"/>
  <c r="AB82" i="20"/>
  <c r="Y71" i="18"/>
  <c r="AB71" i="20"/>
  <c r="Y75" i="18"/>
  <c r="AB75" i="20"/>
  <c r="Y80" i="18"/>
  <c r="AB80" i="20"/>
  <c r="Y84" i="18"/>
  <c r="AB84" i="20"/>
  <c r="Y93" i="18"/>
  <c r="AB93" i="20"/>
  <c r="O9" i="20"/>
  <c r="R9" i="20"/>
  <c r="I9" i="20"/>
  <c r="AD178" i="20"/>
  <c r="AE178" i="20" s="1"/>
  <c r="AD176" i="20"/>
  <c r="AE176" i="20" s="1"/>
  <c r="AD174" i="20"/>
  <c r="AE174" i="20" s="1"/>
  <c r="AD172" i="20"/>
  <c r="AE172" i="20" s="1"/>
  <c r="AD170" i="20"/>
  <c r="AE170" i="20" s="1"/>
  <c r="AD168" i="20"/>
  <c r="AE168" i="20" s="1"/>
  <c r="AD166" i="20"/>
  <c r="AE166" i="20" s="1"/>
  <c r="AD164" i="20"/>
  <c r="AE164" i="20" s="1"/>
  <c r="AD177" i="20"/>
  <c r="AE177" i="20" s="1"/>
  <c r="AD175" i="20"/>
  <c r="AE175" i="20" s="1"/>
  <c r="AD173" i="20"/>
  <c r="AE173" i="20" s="1"/>
  <c r="AD171" i="20"/>
  <c r="AE171" i="20" s="1"/>
  <c r="AD169" i="20"/>
  <c r="AE169" i="20" s="1"/>
  <c r="AD167" i="20"/>
  <c r="AE167" i="20" s="1"/>
  <c r="AD165" i="20"/>
  <c r="AD163" i="20"/>
  <c r="AE163" i="20" s="1"/>
  <c r="W10" i="20"/>
  <c r="V96" i="18"/>
  <c r="T98" i="18"/>
  <c r="T106" i="18" s="1"/>
  <c r="S98" i="18"/>
  <c r="K98" i="18"/>
  <c r="K106" i="18" s="1"/>
  <c r="P98" i="18"/>
  <c r="G98" i="18"/>
  <c r="G106" i="18" s="1"/>
  <c r="C104" i="15"/>
  <c r="E33" i="20" s="1"/>
  <c r="E178" i="20" s="1"/>
  <c r="I9" i="18"/>
  <c r="Q9" i="18"/>
  <c r="N9" i="18"/>
  <c r="Z9" i="20"/>
  <c r="AA10" i="20"/>
  <c r="AA169" i="20"/>
  <c r="AA177" i="20"/>
  <c r="AA166" i="20"/>
  <c r="AA170" i="20"/>
  <c r="AA174" i="20"/>
  <c r="AA178" i="20"/>
  <c r="U179" i="20"/>
  <c r="AA163" i="20"/>
  <c r="E32" i="18"/>
  <c r="E177" i="18" s="1"/>
  <c r="E31" i="18"/>
  <c r="E176" i="18" s="1"/>
  <c r="E30" i="18"/>
  <c r="E175" i="18" s="1"/>
  <c r="E29" i="18"/>
  <c r="E174" i="18" s="1"/>
  <c r="E28" i="18"/>
  <c r="E173" i="18" s="1"/>
  <c r="E27" i="18"/>
  <c r="E172" i="18" s="1"/>
  <c r="E26" i="18"/>
  <c r="E171" i="18" s="1"/>
  <c r="E25" i="18"/>
  <c r="E170" i="18" s="1"/>
  <c r="E24" i="18"/>
  <c r="E169" i="18" s="1"/>
  <c r="E23" i="18"/>
  <c r="E168" i="18" s="1"/>
  <c r="E22" i="18"/>
  <c r="E167" i="18" s="1"/>
  <c r="E21" i="18"/>
  <c r="E166" i="18" s="1"/>
  <c r="E20" i="18"/>
  <c r="E165" i="18" s="1"/>
  <c r="C105" i="15"/>
  <c r="I107" i="15"/>
  <c r="T9" i="18"/>
  <c r="K9" i="18"/>
  <c r="P9" i="18"/>
  <c r="R9" i="18" s="1"/>
  <c r="Y91" i="18"/>
  <c r="Y95" i="18"/>
  <c r="Y123" i="18"/>
  <c r="Y139" i="18"/>
  <c r="J98" i="18"/>
  <c r="V141" i="18"/>
  <c r="U179" i="18"/>
  <c r="R179" i="18"/>
  <c r="M9" i="18"/>
  <c r="O9" i="18" s="1"/>
  <c r="V53" i="18"/>
  <c r="N98" i="18"/>
  <c r="N106" i="18" s="1"/>
  <c r="Y110" i="18"/>
  <c r="Y114" i="18"/>
  <c r="Y46" i="18"/>
  <c r="Y63" i="18"/>
  <c r="Y147" i="18"/>
  <c r="Y48" i="18"/>
  <c r="V64" i="18"/>
  <c r="Y57" i="18"/>
  <c r="Y61" i="18"/>
  <c r="Y145" i="18"/>
  <c r="Y149" i="18"/>
  <c r="L179" i="18"/>
  <c r="M98" i="18"/>
  <c r="Q98" i="18"/>
  <c r="Q106" i="18" s="1"/>
  <c r="Y59" i="18"/>
  <c r="Y102" i="18"/>
  <c r="Y112" i="18"/>
  <c r="Y116" i="18"/>
  <c r="Y153" i="18"/>
  <c r="J9" i="18"/>
  <c r="L9" i="18" s="1"/>
  <c r="I66" i="18"/>
  <c r="I98" i="18"/>
  <c r="I106" i="18" s="1"/>
  <c r="V151" i="18"/>
  <c r="O179" i="18"/>
  <c r="Y45" i="18"/>
  <c r="V88" i="18"/>
  <c r="Y109" i="18"/>
  <c r="Y144" i="18"/>
  <c r="V77" i="18"/>
  <c r="Y122" i="18"/>
  <c r="I181" i="18" l="1"/>
  <c r="I6" i="18"/>
  <c r="K157" i="18"/>
  <c r="K183" i="18" s="1"/>
  <c r="I157" i="18"/>
  <c r="I7" i="18" s="1"/>
  <c r="Q157" i="18"/>
  <c r="Q183" i="18" s="1"/>
  <c r="T157" i="18"/>
  <c r="T183" i="18" s="1"/>
  <c r="N157" i="18"/>
  <c r="N183" i="18" s="1"/>
  <c r="E50" i="17"/>
  <c r="M104" i="18"/>
  <c r="M106" i="18" s="1"/>
  <c r="S104" i="18"/>
  <c r="S106" i="18" s="1"/>
  <c r="AB64" i="20"/>
  <c r="P104" i="18"/>
  <c r="P106" i="18" s="1"/>
  <c r="AB53" i="20"/>
  <c r="AB151" i="20"/>
  <c r="AB141" i="20"/>
  <c r="G98" i="20"/>
  <c r="G106" i="20" s="1"/>
  <c r="Y88" i="18"/>
  <c r="Y77" i="18"/>
  <c r="R183" i="20"/>
  <c r="O183" i="20"/>
  <c r="L183" i="20"/>
  <c r="I183" i="20"/>
  <c r="AB77" i="20"/>
  <c r="AB88" i="20"/>
  <c r="AB96" i="20"/>
  <c r="AD179" i="20"/>
  <c r="AD9" i="20" s="1"/>
  <c r="AD10" i="20" s="1"/>
  <c r="AA179" i="20"/>
  <c r="I183" i="18"/>
  <c r="V98" i="18"/>
  <c r="U9" i="20"/>
  <c r="AA9" i="20" s="1"/>
  <c r="AE165" i="20"/>
  <c r="AE179" i="20" s="1"/>
  <c r="Y151" i="18"/>
  <c r="Y96" i="18"/>
  <c r="Y141" i="18"/>
  <c r="Y64" i="18"/>
  <c r="Y53" i="18"/>
  <c r="I159" i="18" l="1"/>
  <c r="I201" i="18" s="1"/>
  <c r="I205" i="18" s="1"/>
  <c r="J203" i="18" s="1"/>
  <c r="I8" i="18"/>
  <c r="J104" i="18"/>
  <c r="J106" i="18" s="1"/>
  <c r="V101" i="18"/>
  <c r="Y98" i="18"/>
  <c r="AB98" i="20"/>
  <c r="E178" i="18"/>
  <c r="V203" i="18" l="1"/>
  <c r="Y203" i="18" s="1"/>
  <c r="K203" i="18"/>
  <c r="AB101" i="20"/>
  <c r="AB104" i="20" s="1"/>
  <c r="AB106" i="20" s="1"/>
  <c r="V104" i="18"/>
  <c r="V106" i="18" s="1"/>
  <c r="Y101" i="18"/>
  <c r="Y104" i="18" s="1"/>
  <c r="Y106" i="18" s="1"/>
  <c r="I35" i="15"/>
  <c r="G16" i="18" l="1"/>
  <c r="G16" i="20"/>
  <c r="C435" i="15"/>
  <c r="C643" i="15"/>
  <c r="C259" i="15"/>
  <c r="C659" i="15"/>
  <c r="C403" i="15"/>
  <c r="C147" i="15"/>
  <c r="C371" i="15"/>
  <c r="C579" i="15"/>
  <c r="C739" i="15"/>
  <c r="C483" i="15"/>
  <c r="C227" i="15"/>
  <c r="C727" i="15"/>
  <c r="C599" i="15"/>
  <c r="C471" i="15"/>
  <c r="C343" i="15"/>
  <c r="C231" i="15"/>
  <c r="C735" i="15"/>
  <c r="C671" i="15"/>
  <c r="C607" i="15"/>
  <c r="C543" i="15"/>
  <c r="C479" i="15"/>
  <c r="C415" i="15"/>
  <c r="C351" i="15"/>
  <c r="C287" i="15"/>
  <c r="C223" i="15"/>
  <c r="C159" i="15"/>
  <c r="C773" i="15"/>
  <c r="C647" i="15"/>
  <c r="C519" i="15"/>
  <c r="C375" i="15"/>
  <c r="C263" i="15"/>
  <c r="C135" i="15"/>
  <c r="C747" i="15"/>
  <c r="C683" i="15"/>
  <c r="C619" i="15"/>
  <c r="C555" i="15"/>
  <c r="C491" i="15"/>
  <c r="C427" i="15"/>
  <c r="C363" i="15"/>
  <c r="C299" i="15"/>
  <c r="C235" i="15"/>
  <c r="C171" i="15"/>
  <c r="C785" i="15"/>
  <c r="C753" i="15"/>
  <c r="C721" i="15"/>
  <c r="C689" i="15"/>
  <c r="C657" i="15"/>
  <c r="C625" i="15"/>
  <c r="C593" i="15"/>
  <c r="C561" i="15"/>
  <c r="C529" i="15"/>
  <c r="C497" i="15"/>
  <c r="C465" i="15"/>
  <c r="C433" i="15"/>
  <c r="C401" i="15"/>
  <c r="C369" i="15"/>
  <c r="C337" i="15"/>
  <c r="C305" i="15"/>
  <c r="C273" i="15"/>
  <c r="C241" i="15"/>
  <c r="C209" i="15"/>
  <c r="C177" i="15"/>
  <c r="C145" i="15"/>
  <c r="C113" i="15"/>
  <c r="C741" i="15"/>
  <c r="C709" i="15"/>
  <c r="C677" i="15"/>
  <c r="C645" i="15"/>
  <c r="C613" i="15"/>
  <c r="C581" i="15"/>
  <c r="C549" i="15"/>
  <c r="C517" i="15"/>
  <c r="C485" i="15"/>
  <c r="C453" i="15"/>
  <c r="C421" i="15"/>
  <c r="C389" i="15"/>
  <c r="C357" i="15"/>
  <c r="C325" i="15"/>
  <c r="C293" i="15"/>
  <c r="C261" i="15"/>
  <c r="C229" i="15"/>
  <c r="C197" i="15"/>
  <c r="C165" i="15"/>
  <c r="C133" i="15"/>
  <c r="C780" i="15"/>
  <c r="C764" i="15"/>
  <c r="C748" i="15"/>
  <c r="C732" i="15"/>
  <c r="C716" i="15"/>
  <c r="C700" i="15"/>
  <c r="C684" i="15"/>
  <c r="C668" i="15"/>
  <c r="C652" i="15"/>
  <c r="C636" i="15"/>
  <c r="C620" i="15"/>
  <c r="C604" i="15"/>
  <c r="C588" i="15"/>
  <c r="C572" i="15"/>
  <c r="C556" i="15"/>
  <c r="C540" i="15"/>
  <c r="C524" i="15"/>
  <c r="C508" i="15"/>
  <c r="C492" i="15"/>
  <c r="C476" i="15"/>
  <c r="C460" i="15"/>
  <c r="C444" i="15"/>
  <c r="C428" i="15"/>
  <c r="C412" i="15"/>
  <c r="C396" i="15"/>
  <c r="C380" i="15"/>
  <c r="C364" i="15"/>
  <c r="C348" i="15"/>
  <c r="C332" i="15"/>
  <c r="C316" i="15"/>
  <c r="C300" i="15"/>
  <c r="C284" i="15"/>
  <c r="C268" i="15"/>
  <c r="C252" i="15"/>
  <c r="C236" i="15"/>
  <c r="C220" i="15"/>
  <c r="C204" i="15"/>
  <c r="C188" i="15"/>
  <c r="C172" i="15"/>
  <c r="C156" i="15"/>
  <c r="C140" i="15"/>
  <c r="C124" i="15"/>
  <c r="C786" i="15"/>
  <c r="C770" i="15"/>
  <c r="C754" i="15"/>
  <c r="C738" i="15"/>
  <c r="C722" i="15"/>
  <c r="C706" i="15"/>
  <c r="C690" i="15"/>
  <c r="C674" i="15"/>
  <c r="C658" i="15"/>
  <c r="C642" i="15"/>
  <c r="C626" i="15"/>
  <c r="C610" i="15"/>
  <c r="C594" i="15"/>
  <c r="C578" i="15"/>
  <c r="C562" i="15"/>
  <c r="C546" i="15"/>
  <c r="C530" i="15"/>
  <c r="C514" i="15"/>
  <c r="C498" i="15"/>
  <c r="C482" i="15"/>
  <c r="C466" i="15"/>
  <c r="C450" i="15"/>
  <c r="C434" i="15"/>
  <c r="C418" i="15"/>
  <c r="C402" i="15"/>
  <c r="C386" i="15"/>
  <c r="C370" i="15"/>
  <c r="C354" i="15"/>
  <c r="C338" i="15"/>
  <c r="C322" i="15"/>
  <c r="C306" i="15"/>
  <c r="C290" i="15"/>
  <c r="C274" i="15"/>
  <c r="C258" i="15"/>
  <c r="C242" i="15"/>
  <c r="C226" i="15"/>
  <c r="C210" i="15"/>
  <c r="C194" i="15"/>
  <c r="C178" i="15"/>
  <c r="C162" i="15"/>
  <c r="C146" i="15"/>
  <c r="C130" i="15"/>
  <c r="C771" i="15"/>
  <c r="C467" i="15"/>
  <c r="C499" i="15"/>
  <c r="C114" i="15"/>
  <c r="C291" i="15"/>
  <c r="C631" i="15"/>
  <c r="C391" i="15"/>
  <c r="C119" i="15"/>
  <c r="C687" i="15"/>
  <c r="C559" i="15"/>
  <c r="C431" i="15"/>
  <c r="C303" i="15"/>
  <c r="C175" i="15"/>
  <c r="C679" i="15"/>
  <c r="C407" i="15"/>
  <c r="C151" i="15"/>
  <c r="C699" i="15"/>
  <c r="C571" i="15"/>
  <c r="C443" i="15"/>
  <c r="C315" i="15"/>
  <c r="C187" i="15"/>
  <c r="C761" i="15"/>
  <c r="C697" i="15"/>
  <c r="C633" i="15"/>
  <c r="C569" i="15"/>
  <c r="C505" i="15"/>
  <c r="C409" i="15"/>
  <c r="C345" i="15"/>
  <c r="C281" i="15"/>
  <c r="C217" i="15"/>
  <c r="C185" i="15"/>
  <c r="C121" i="15"/>
  <c r="C717" i="15"/>
  <c r="C621" i="15"/>
  <c r="C557" i="15"/>
  <c r="C525" i="15"/>
  <c r="C461" i="15"/>
  <c r="C397" i="15"/>
  <c r="C333" i="15"/>
  <c r="C269" i="15"/>
  <c r="C205" i="15"/>
  <c r="C141" i="15"/>
  <c r="C768" i="15"/>
  <c r="C736" i="15"/>
  <c r="C704" i="15"/>
  <c r="C672" i="15"/>
  <c r="C640" i="15"/>
  <c r="C608" i="15"/>
  <c r="C576" i="15"/>
  <c r="C544" i="15"/>
  <c r="C512" i="15"/>
  <c r="C480" i="15"/>
  <c r="C448" i="15"/>
  <c r="C416" i="15"/>
  <c r="C384" i="15"/>
  <c r="C352" i="15"/>
  <c r="C320" i="15"/>
  <c r="C288" i="15"/>
  <c r="C256" i="15"/>
  <c r="C224" i="15"/>
  <c r="C192" i="15"/>
  <c r="C160" i="15"/>
  <c r="C128" i="15"/>
  <c r="C774" i="15"/>
  <c r="C742" i="15"/>
  <c r="C710" i="15"/>
  <c r="C678" i="15"/>
  <c r="C646" i="15"/>
  <c r="C614" i="15"/>
  <c r="C582" i="15"/>
  <c r="C550" i="15"/>
  <c r="C518" i="15"/>
  <c r="C486" i="15"/>
  <c r="C454" i="15"/>
  <c r="C422" i="15"/>
  <c r="C390" i="15"/>
  <c r="C358" i="15"/>
  <c r="C326" i="15"/>
  <c r="C294" i="15"/>
  <c r="C278" i="15"/>
  <c r="C246" i="15"/>
  <c r="C214" i="15"/>
  <c r="C182" i="15"/>
  <c r="C150" i="15"/>
  <c r="C118" i="15"/>
  <c r="C691" i="15"/>
  <c r="C387" i="15"/>
  <c r="C117" i="15"/>
  <c r="C307" i="15"/>
  <c r="C515" i="15"/>
  <c r="C131" i="15"/>
  <c r="C595" i="15"/>
  <c r="C339" i="15"/>
  <c r="C755" i="15"/>
  <c r="C243" i="15"/>
  <c r="C451" i="15"/>
  <c r="C675" i="15"/>
  <c r="C419" i="15"/>
  <c r="C163" i="15"/>
  <c r="C695" i="15"/>
  <c r="C567" i="15"/>
  <c r="C439" i="15"/>
  <c r="C311" i="15"/>
  <c r="C199" i="15"/>
  <c r="C779" i="15"/>
  <c r="C719" i="15"/>
  <c r="C655" i="15"/>
  <c r="C591" i="15"/>
  <c r="C527" i="15"/>
  <c r="C463" i="15"/>
  <c r="C399" i="15"/>
  <c r="C335" i="15"/>
  <c r="C271" i="15"/>
  <c r="C207" i="15"/>
  <c r="C143" i="15"/>
  <c r="C743" i="15"/>
  <c r="C615" i="15"/>
  <c r="C487" i="15"/>
  <c r="C359" i="15"/>
  <c r="C215" i="15"/>
  <c r="C787" i="15"/>
  <c r="C731" i="15"/>
  <c r="C667" i="15"/>
  <c r="C603" i="15"/>
  <c r="C539" i="15"/>
  <c r="C475" i="15"/>
  <c r="C411" i="15"/>
  <c r="C347" i="15"/>
  <c r="C283" i="15"/>
  <c r="C219" i="15"/>
  <c r="C155" i="15"/>
  <c r="C777" i="15"/>
  <c r="C745" i="15"/>
  <c r="C713" i="15"/>
  <c r="C681" i="15"/>
  <c r="C649" i="15"/>
  <c r="C617" i="15"/>
  <c r="C585" i="15"/>
  <c r="C553" i="15"/>
  <c r="C521" i="15"/>
  <c r="C489" i="15"/>
  <c r="C457" i="15"/>
  <c r="C425" i="15"/>
  <c r="C393" i="15"/>
  <c r="C361" i="15"/>
  <c r="C329" i="15"/>
  <c r="C297" i="15"/>
  <c r="C265" i="15"/>
  <c r="C233" i="15"/>
  <c r="C201" i="15"/>
  <c r="C169" i="15"/>
  <c r="C137" i="15"/>
  <c r="C765" i="15"/>
  <c r="C733" i="15"/>
  <c r="C701" i="15"/>
  <c r="C669" i="15"/>
  <c r="C637" i="15"/>
  <c r="C605" i="15"/>
  <c r="C573" i="15"/>
  <c r="C541" i="15"/>
  <c r="C509" i="15"/>
  <c r="C477" i="15"/>
  <c r="C445" i="15"/>
  <c r="C413" i="15"/>
  <c r="C381" i="15"/>
  <c r="C349" i="15"/>
  <c r="C317" i="15"/>
  <c r="C285" i="15"/>
  <c r="C253" i="15"/>
  <c r="C221" i="15"/>
  <c r="C189" i="15"/>
  <c r="C157" i="15"/>
  <c r="C125" i="15"/>
  <c r="C776" i="15"/>
  <c r="C760" i="15"/>
  <c r="C744" i="15"/>
  <c r="C728" i="15"/>
  <c r="C712" i="15"/>
  <c r="C696" i="15"/>
  <c r="C680" i="15"/>
  <c r="C664" i="15"/>
  <c r="C648" i="15"/>
  <c r="C632" i="15"/>
  <c r="C616" i="15"/>
  <c r="C600" i="15"/>
  <c r="C584" i="15"/>
  <c r="C568" i="15"/>
  <c r="C552" i="15"/>
  <c r="C536" i="15"/>
  <c r="C520" i="15"/>
  <c r="C504" i="15"/>
  <c r="C488" i="15"/>
  <c r="C472" i="15"/>
  <c r="C456" i="15"/>
  <c r="C440" i="15"/>
  <c r="C424" i="15"/>
  <c r="C408" i="15"/>
  <c r="C392" i="15"/>
  <c r="C376" i="15"/>
  <c r="C360" i="15"/>
  <c r="C344" i="15"/>
  <c r="C328" i="15"/>
  <c r="C312" i="15"/>
  <c r="C296" i="15"/>
  <c r="C280" i="15"/>
  <c r="C264" i="15"/>
  <c r="C248" i="15"/>
  <c r="C232" i="15"/>
  <c r="C216" i="15"/>
  <c r="C200" i="15"/>
  <c r="C184" i="15"/>
  <c r="C168" i="15"/>
  <c r="C152" i="15"/>
  <c r="C136" i="15"/>
  <c r="C120" i="15"/>
  <c r="C782" i="15"/>
  <c r="C766" i="15"/>
  <c r="C750" i="15"/>
  <c r="C734" i="15"/>
  <c r="C718" i="15"/>
  <c r="C702" i="15"/>
  <c r="C686" i="15"/>
  <c r="C670" i="15"/>
  <c r="C654" i="15"/>
  <c r="C638" i="15"/>
  <c r="C622" i="15"/>
  <c r="C606" i="15"/>
  <c r="C590" i="15"/>
  <c r="C574" i="15"/>
  <c r="C558" i="15"/>
  <c r="C542" i="15"/>
  <c r="C526" i="15"/>
  <c r="C510" i="15"/>
  <c r="C494" i="15"/>
  <c r="C478" i="15"/>
  <c r="C462" i="15"/>
  <c r="C446" i="15"/>
  <c r="C430" i="15"/>
  <c r="C414" i="15"/>
  <c r="C398" i="15"/>
  <c r="C382" i="15"/>
  <c r="C366" i="15"/>
  <c r="C350" i="15"/>
  <c r="C334" i="15"/>
  <c r="C318" i="15"/>
  <c r="C302" i="15"/>
  <c r="C286" i="15"/>
  <c r="C270" i="15"/>
  <c r="C254" i="15"/>
  <c r="C238" i="15"/>
  <c r="C222" i="15"/>
  <c r="C206" i="15"/>
  <c r="C190" i="15"/>
  <c r="C174" i="15"/>
  <c r="C158" i="15"/>
  <c r="C142" i="15"/>
  <c r="C126" i="15"/>
  <c r="C563" i="15"/>
  <c r="C323" i="15"/>
  <c r="C723" i="15"/>
  <c r="C211" i="15"/>
  <c r="C707" i="15"/>
  <c r="C547" i="15"/>
  <c r="C759" i="15"/>
  <c r="C503" i="15"/>
  <c r="C247" i="15"/>
  <c r="C751" i="15"/>
  <c r="C623" i="15"/>
  <c r="C495" i="15"/>
  <c r="C367" i="15"/>
  <c r="C239" i="15"/>
  <c r="C111" i="15"/>
  <c r="C551" i="15"/>
  <c r="C295" i="15"/>
  <c r="C763" i="15"/>
  <c r="C635" i="15"/>
  <c r="C507" i="15"/>
  <c r="C379" i="15"/>
  <c r="C251" i="15"/>
  <c r="C123" i="15"/>
  <c r="C729" i="15"/>
  <c r="C665" i="15"/>
  <c r="C601" i="15"/>
  <c r="C537" i="15"/>
  <c r="C473" i="15"/>
  <c r="C441" i="15"/>
  <c r="C377" i="15"/>
  <c r="C313" i="15"/>
  <c r="C249" i="15"/>
  <c r="C153" i="15"/>
  <c r="C749" i="15"/>
  <c r="C685" i="15"/>
  <c r="C653" i="15"/>
  <c r="C589" i="15"/>
  <c r="C493" i="15"/>
  <c r="C429" i="15"/>
  <c r="C365" i="15"/>
  <c r="C301" i="15"/>
  <c r="C237" i="15"/>
  <c r="C173" i="15"/>
  <c r="C784" i="15"/>
  <c r="C752" i="15"/>
  <c r="C720" i="15"/>
  <c r="C688" i="15"/>
  <c r="C656" i="15"/>
  <c r="C624" i="15"/>
  <c r="C592" i="15"/>
  <c r="C560" i="15"/>
  <c r="C528" i="15"/>
  <c r="C496" i="15"/>
  <c r="C464" i="15"/>
  <c r="C432" i="15"/>
  <c r="C400" i="15"/>
  <c r="C368" i="15"/>
  <c r="C336" i="15"/>
  <c r="C304" i="15"/>
  <c r="C272" i="15"/>
  <c r="C240" i="15"/>
  <c r="C208" i="15"/>
  <c r="C176" i="15"/>
  <c r="C144" i="15"/>
  <c r="C112" i="15"/>
  <c r="C758" i="15"/>
  <c r="C726" i="15"/>
  <c r="C694" i="15"/>
  <c r="C662" i="15"/>
  <c r="C630" i="15"/>
  <c r="C598" i="15"/>
  <c r="C566" i="15"/>
  <c r="C534" i="15"/>
  <c r="C502" i="15"/>
  <c r="C470" i="15"/>
  <c r="C438" i="15"/>
  <c r="C406" i="15"/>
  <c r="C374" i="15"/>
  <c r="C342" i="15"/>
  <c r="C310" i="15"/>
  <c r="C262" i="15"/>
  <c r="C230" i="15"/>
  <c r="C198" i="15"/>
  <c r="C166" i="15"/>
  <c r="C134" i="15"/>
  <c r="C275" i="15"/>
  <c r="C611" i="15"/>
  <c r="C535" i="15"/>
  <c r="C767" i="15"/>
  <c r="C511" i="15"/>
  <c r="C255" i="15"/>
  <c r="C583" i="15"/>
  <c r="C775" i="15"/>
  <c r="C523" i="15"/>
  <c r="C267" i="15"/>
  <c r="C737" i="15"/>
  <c r="C609" i="15"/>
  <c r="C481" i="15"/>
  <c r="C353" i="15"/>
  <c r="C225" i="15"/>
  <c r="C757" i="15"/>
  <c r="C629" i="15"/>
  <c r="C501" i="15"/>
  <c r="C373" i="15"/>
  <c r="C245" i="15"/>
  <c r="C724" i="15"/>
  <c r="C660" i="15"/>
  <c r="C596" i="15"/>
  <c r="C532" i="15"/>
  <c r="C468" i="15"/>
  <c r="C404" i="15"/>
  <c r="C276" i="15"/>
  <c r="C212" i="15"/>
  <c r="C762" i="15"/>
  <c r="C634" i="15"/>
  <c r="C442" i="15"/>
  <c r="C314" i="15"/>
  <c r="C186" i="15"/>
  <c r="C195" i="15"/>
  <c r="C575" i="15"/>
  <c r="C711" i="15"/>
  <c r="C587" i="15"/>
  <c r="C769" i="15"/>
  <c r="C513" i="15"/>
  <c r="C257" i="15"/>
  <c r="C661" i="15"/>
  <c r="C405" i="15"/>
  <c r="C149" i="15"/>
  <c r="C676" i="15"/>
  <c r="C548" i="15"/>
  <c r="C420" i="15"/>
  <c r="C292" i="15"/>
  <c r="C164" i="15"/>
  <c r="C714" i="15"/>
  <c r="C586" i="15"/>
  <c r="C458" i="15"/>
  <c r="C330" i="15"/>
  <c r="C202" i="15"/>
  <c r="C383" i="15"/>
  <c r="C651" i="15"/>
  <c r="C139" i="15"/>
  <c r="C545" i="15"/>
  <c r="C289" i="15"/>
  <c r="C693" i="15"/>
  <c r="C437" i="15"/>
  <c r="C181" i="15"/>
  <c r="C692" i="15"/>
  <c r="C564" i="15"/>
  <c r="C436" i="15"/>
  <c r="C308" i="15"/>
  <c r="C180" i="15"/>
  <c r="C730" i="15"/>
  <c r="C538" i="15"/>
  <c r="C410" i="15"/>
  <c r="C282" i="15"/>
  <c r="C154" i="15"/>
  <c r="C179" i="15"/>
  <c r="C627" i="15"/>
  <c r="C355" i="15"/>
  <c r="C423" i="15"/>
  <c r="C703" i="15"/>
  <c r="C447" i="15"/>
  <c r="C191" i="15"/>
  <c r="C455" i="15"/>
  <c r="C715" i="15"/>
  <c r="C459" i="15"/>
  <c r="C203" i="15"/>
  <c r="C705" i="15"/>
  <c r="C577" i="15"/>
  <c r="C449" i="15"/>
  <c r="C321" i="15"/>
  <c r="C193" i="15"/>
  <c r="C725" i="15"/>
  <c r="C597" i="15"/>
  <c r="C469" i="15"/>
  <c r="C341" i="15"/>
  <c r="C213" i="15"/>
  <c r="C772" i="15"/>
  <c r="C708" i="15"/>
  <c r="C644" i="15"/>
  <c r="C580" i="15"/>
  <c r="C516" i="15"/>
  <c r="C452" i="15"/>
  <c r="C388" i="15"/>
  <c r="C324" i="15"/>
  <c r="C260" i="15"/>
  <c r="C196" i="15"/>
  <c r="C132" i="15"/>
  <c r="C746" i="15"/>
  <c r="C682" i="15"/>
  <c r="C618" i="15"/>
  <c r="C554" i="15"/>
  <c r="C490" i="15"/>
  <c r="C426" i="15"/>
  <c r="C362" i="15"/>
  <c r="C298" i="15"/>
  <c r="C234" i="15"/>
  <c r="C170" i="15"/>
  <c r="C340" i="15"/>
  <c r="C148" i="15"/>
  <c r="C698" i="15"/>
  <c r="C570" i="15"/>
  <c r="C506" i="15"/>
  <c r="C378" i="15"/>
  <c r="C250" i="15"/>
  <c r="C122" i="15"/>
  <c r="C531" i="15"/>
  <c r="C663" i="15"/>
  <c r="C167" i="15"/>
  <c r="C319" i="15"/>
  <c r="C183" i="15"/>
  <c r="C331" i="15"/>
  <c r="C641" i="15"/>
  <c r="C385" i="15"/>
  <c r="C129" i="15"/>
  <c r="C533" i="15"/>
  <c r="C277" i="15"/>
  <c r="C740" i="15"/>
  <c r="C612" i="15"/>
  <c r="C484" i="15"/>
  <c r="C356" i="15"/>
  <c r="C228" i="15"/>
  <c r="C778" i="15"/>
  <c r="C650" i="15"/>
  <c r="C522" i="15"/>
  <c r="C394" i="15"/>
  <c r="C266" i="15"/>
  <c r="C138" i="15"/>
  <c r="C781" i="15"/>
  <c r="C115" i="15"/>
  <c r="C783" i="15"/>
  <c r="C279" i="15"/>
  <c r="C639" i="15"/>
  <c r="C127" i="15"/>
  <c r="C327" i="15"/>
  <c r="C395" i="15"/>
  <c r="C673" i="15"/>
  <c r="C417" i="15"/>
  <c r="C161" i="15"/>
  <c r="C565" i="15"/>
  <c r="C309" i="15"/>
  <c r="C756" i="15"/>
  <c r="C628" i="15"/>
  <c r="C500" i="15"/>
  <c r="C372" i="15"/>
  <c r="C244" i="15"/>
  <c r="C116" i="15"/>
  <c r="C666" i="15"/>
  <c r="C602" i="15"/>
  <c r="C474" i="15"/>
  <c r="C346" i="15"/>
  <c r="C218" i="15"/>
  <c r="I7" i="15" l="1"/>
  <c r="J7" i="15" s="1"/>
  <c r="I8" i="15"/>
  <c r="J8" i="15" s="1"/>
  <c r="I9" i="15"/>
  <c r="J9" i="15" s="1"/>
  <c r="I6" i="15"/>
  <c r="J6" i="15" s="1"/>
  <c r="B110" i="15" a="1"/>
  <c r="O34" i="20" l="1"/>
  <c r="O42" i="20" s="1"/>
  <c r="O66" i="20" s="1"/>
  <c r="O6" i="20" s="1"/>
  <c r="R34" i="20"/>
  <c r="R42" i="20" s="1"/>
  <c r="R66" i="20" s="1"/>
  <c r="R6" i="20" s="1"/>
  <c r="L34" i="20"/>
  <c r="L42" i="20" s="1"/>
  <c r="L66" i="20" s="1"/>
  <c r="L6" i="20" s="1"/>
  <c r="Z153" i="20"/>
  <c r="Z149" i="20"/>
  <c r="Z147" i="20"/>
  <c r="Z145" i="20"/>
  <c r="Z140" i="20"/>
  <c r="Z138" i="20"/>
  <c r="Z136" i="20"/>
  <c r="Z134" i="20"/>
  <c r="Z132" i="20"/>
  <c r="Z130" i="20"/>
  <c r="Z128" i="20"/>
  <c r="Z126" i="20"/>
  <c r="Z124" i="20"/>
  <c r="Z122" i="20"/>
  <c r="Z117" i="20"/>
  <c r="Z115" i="20"/>
  <c r="Z113" i="20"/>
  <c r="Z109" i="20"/>
  <c r="Z102" i="20"/>
  <c r="Z93" i="20"/>
  <c r="Z85" i="20"/>
  <c r="Z76" i="20"/>
  <c r="Z71" i="20"/>
  <c r="Z31" i="20"/>
  <c r="Z26" i="20"/>
  <c r="Z21" i="20"/>
  <c r="Z94" i="20"/>
  <c r="Z81" i="20"/>
  <c r="Z33" i="20"/>
  <c r="Z22" i="20"/>
  <c r="Z95" i="20"/>
  <c r="Z150" i="20"/>
  <c r="Z148" i="20"/>
  <c r="Z144" i="20"/>
  <c r="Z137" i="20"/>
  <c r="Z133" i="20"/>
  <c r="Z129" i="20"/>
  <c r="Z127" i="20"/>
  <c r="Z123" i="20"/>
  <c r="Z116" i="20"/>
  <c r="Z112" i="20"/>
  <c r="Z103" i="20"/>
  <c r="Z87" i="20"/>
  <c r="Z82" i="20"/>
  <c r="Z29" i="20"/>
  <c r="Z92" i="20"/>
  <c r="Z83" i="20"/>
  <c r="Z75" i="20"/>
  <c r="Z30" i="20"/>
  <c r="Z25" i="20"/>
  <c r="Z19" i="20"/>
  <c r="Z86" i="20"/>
  <c r="Z72" i="20"/>
  <c r="Z27" i="20"/>
  <c r="Z154" i="20"/>
  <c r="Z146" i="20"/>
  <c r="Z139" i="20"/>
  <c r="Z135" i="20"/>
  <c r="Z131" i="20"/>
  <c r="Z125" i="20"/>
  <c r="Z121" i="20"/>
  <c r="Z114" i="20"/>
  <c r="Z110" i="20"/>
  <c r="Z101" i="20"/>
  <c r="Z74" i="20"/>
  <c r="Z23" i="20"/>
  <c r="Z24" i="20"/>
  <c r="Z91" i="20"/>
  <c r="Z20" i="20"/>
  <c r="Z84" i="20"/>
  <c r="Z32" i="20"/>
  <c r="Z80" i="20"/>
  <c r="Z28" i="20"/>
  <c r="Z73" i="20"/>
  <c r="U33" i="20"/>
  <c r="I34" i="20"/>
  <c r="I42" i="20" s="1"/>
  <c r="I66" i="20" s="1"/>
  <c r="I6" i="20" s="1"/>
  <c r="U27" i="20"/>
  <c r="U21" i="20"/>
  <c r="U32" i="20"/>
  <c r="U30" i="20"/>
  <c r="U28" i="20"/>
  <c r="U26" i="20"/>
  <c r="U24" i="20"/>
  <c r="U22" i="20"/>
  <c r="U20" i="20"/>
  <c r="U31" i="20"/>
  <c r="U29" i="20"/>
  <c r="U25" i="20"/>
  <c r="U23" i="20"/>
  <c r="U19" i="20"/>
  <c r="U18" i="20"/>
  <c r="AA25" i="20" l="1"/>
  <c r="AA27" i="20"/>
  <c r="AA29" i="20"/>
  <c r="AM18" i="20"/>
  <c r="U154" i="20"/>
  <c r="AC154" i="20" s="1"/>
  <c r="U148" i="20"/>
  <c r="AC148" i="20" s="1"/>
  <c r="U144" i="20"/>
  <c r="AA144" i="20" s="1"/>
  <c r="U137" i="20"/>
  <c r="AC137" i="20" s="1"/>
  <c r="U133" i="20"/>
  <c r="AA133" i="20" s="1"/>
  <c r="U129" i="20"/>
  <c r="AC129" i="20" s="1"/>
  <c r="U125" i="20"/>
  <c r="AC125" i="20" s="1"/>
  <c r="U121" i="20"/>
  <c r="AA121" i="20" s="1"/>
  <c r="U114" i="20"/>
  <c r="AC114" i="20" s="1"/>
  <c r="U110" i="20"/>
  <c r="AC110" i="20" s="1"/>
  <c r="U101" i="20"/>
  <c r="AA101" i="20" s="1"/>
  <c r="U92" i="20"/>
  <c r="AC92" i="20" s="1"/>
  <c r="U85" i="20"/>
  <c r="AC85" i="20" s="1"/>
  <c r="U81" i="20"/>
  <c r="AC81" i="20" s="1"/>
  <c r="U74" i="20"/>
  <c r="AC74" i="20" s="1"/>
  <c r="U63" i="20"/>
  <c r="AC63" i="20" s="1"/>
  <c r="U59" i="20"/>
  <c r="AC59" i="20" s="1"/>
  <c r="U52" i="20"/>
  <c r="AC52" i="20" s="1"/>
  <c r="U47" i="20"/>
  <c r="AC47" i="20" s="1"/>
  <c r="U40" i="20"/>
  <c r="U35" i="20"/>
  <c r="AC35" i="20" s="1"/>
  <c r="U150" i="20"/>
  <c r="AC150" i="20" s="1"/>
  <c r="U139" i="20"/>
  <c r="AA139" i="20" s="1"/>
  <c r="U131" i="20"/>
  <c r="AA131" i="20" s="1"/>
  <c r="U123" i="20"/>
  <c r="AA123" i="20" s="1"/>
  <c r="U112" i="20"/>
  <c r="AC112" i="20" s="1"/>
  <c r="U94" i="20"/>
  <c r="AA94" i="20" s="1"/>
  <c r="U83" i="20"/>
  <c r="AC83" i="20" s="1"/>
  <c r="U72" i="20"/>
  <c r="AC72" i="20" s="1"/>
  <c r="U57" i="20"/>
  <c r="AA57" i="20" s="1"/>
  <c r="U50" i="20"/>
  <c r="AC50" i="20" s="1"/>
  <c r="U38" i="20"/>
  <c r="AC38" i="20" s="1"/>
  <c r="U155" i="20"/>
  <c r="U145" i="20"/>
  <c r="AC145" i="20" s="1"/>
  <c r="U130" i="20"/>
  <c r="AA130" i="20" s="1"/>
  <c r="U122" i="20"/>
  <c r="AA122" i="20" s="1"/>
  <c r="U111" i="20"/>
  <c r="U93" i="20"/>
  <c r="AC93" i="20" s="1"/>
  <c r="U82" i="20"/>
  <c r="AC82" i="20" s="1"/>
  <c r="U71" i="20"/>
  <c r="AC71" i="20" s="1"/>
  <c r="U60" i="20"/>
  <c r="AA60" i="20" s="1"/>
  <c r="U48" i="20"/>
  <c r="AC48" i="20" s="1"/>
  <c r="U37" i="20"/>
  <c r="AC37" i="20" s="1"/>
  <c r="U153" i="20"/>
  <c r="AC153" i="20" s="1"/>
  <c r="U147" i="20"/>
  <c r="AC147" i="20" s="1"/>
  <c r="U140" i="20"/>
  <c r="AA140" i="20" s="1"/>
  <c r="U136" i="20"/>
  <c r="AA136" i="20" s="1"/>
  <c r="U132" i="20"/>
  <c r="AA132" i="20" s="1"/>
  <c r="U128" i="20"/>
  <c r="AC128" i="20" s="1"/>
  <c r="U124" i="20"/>
  <c r="AA124" i="20" s="1"/>
  <c r="U117" i="20"/>
  <c r="AC117" i="20" s="1"/>
  <c r="U113" i="20"/>
  <c r="AC113" i="20" s="1"/>
  <c r="U109" i="20"/>
  <c r="AA109" i="20" s="1"/>
  <c r="U95" i="20"/>
  <c r="AC95" i="20" s="1"/>
  <c r="U91" i="20"/>
  <c r="AC91" i="20" s="1"/>
  <c r="U84" i="20"/>
  <c r="AA84" i="20" s="1"/>
  <c r="U80" i="20"/>
  <c r="AC80" i="20" s="1"/>
  <c r="U73" i="20"/>
  <c r="AC73" i="20" s="1"/>
  <c r="U62" i="20"/>
  <c r="AC62" i="20" s="1"/>
  <c r="U58" i="20"/>
  <c r="AC58" i="20" s="1"/>
  <c r="U51" i="20"/>
  <c r="AA51" i="20" s="1"/>
  <c r="U46" i="20"/>
  <c r="AC46" i="20" s="1"/>
  <c r="U39" i="20"/>
  <c r="AA39" i="20" s="1"/>
  <c r="U146" i="20"/>
  <c r="AC146" i="20" s="1"/>
  <c r="U135" i="20"/>
  <c r="AA135" i="20" s="1"/>
  <c r="U127" i="20"/>
  <c r="AA127" i="20" s="1"/>
  <c r="U116" i="20"/>
  <c r="AC116" i="20" s="1"/>
  <c r="U103" i="20"/>
  <c r="AC103" i="20" s="1"/>
  <c r="U87" i="20"/>
  <c r="AA87" i="20" s="1"/>
  <c r="U76" i="20"/>
  <c r="AC76" i="20" s="1"/>
  <c r="U61" i="20"/>
  <c r="AA61" i="20" s="1"/>
  <c r="U45" i="20"/>
  <c r="AA45" i="20" s="1"/>
  <c r="U149" i="20"/>
  <c r="AC149" i="20" s="1"/>
  <c r="U138" i="20"/>
  <c r="AA138" i="20" s="1"/>
  <c r="U134" i="20"/>
  <c r="AC134" i="20" s="1"/>
  <c r="U126" i="20"/>
  <c r="AC126" i="20" s="1"/>
  <c r="U115" i="20"/>
  <c r="AC115" i="20" s="1"/>
  <c r="U102" i="20"/>
  <c r="AC102" i="20" s="1"/>
  <c r="U86" i="20"/>
  <c r="AC86" i="20" s="1"/>
  <c r="U75" i="20"/>
  <c r="AC75" i="20" s="1"/>
  <c r="U56" i="20"/>
  <c r="AA56" i="20" s="1"/>
  <c r="U41" i="20"/>
  <c r="AC41" i="20" s="1"/>
  <c r="AA33" i="20"/>
  <c r="AA24" i="20"/>
  <c r="AA31" i="20"/>
  <c r="AA22" i="20"/>
  <c r="AA20" i="20"/>
  <c r="AA26" i="20"/>
  <c r="AA19" i="20"/>
  <c r="I181" i="20"/>
  <c r="I159" i="20"/>
  <c r="Z88" i="20"/>
  <c r="Z77" i="20"/>
  <c r="O181" i="20"/>
  <c r="O159" i="20"/>
  <c r="Z64" i="20"/>
  <c r="AA28" i="20"/>
  <c r="AA23" i="20"/>
  <c r="AA32" i="20"/>
  <c r="Z141" i="20"/>
  <c r="AD33" i="20"/>
  <c r="AE33" i="20" s="1"/>
  <c r="AD29" i="20"/>
  <c r="AE29" i="20" s="1"/>
  <c r="AD25" i="20"/>
  <c r="AE25" i="20" s="1"/>
  <c r="AD21" i="20"/>
  <c r="AE21" i="20" s="1"/>
  <c r="AD30" i="20"/>
  <c r="AE30" i="20" s="1"/>
  <c r="AD22" i="20"/>
  <c r="AE22" i="20" s="1"/>
  <c r="AD32" i="20"/>
  <c r="AE32" i="20" s="1"/>
  <c r="AD28" i="20"/>
  <c r="AE28" i="20" s="1"/>
  <c r="AD24" i="20"/>
  <c r="AE24" i="20" s="1"/>
  <c r="AD20" i="20"/>
  <c r="AE20" i="20" s="1"/>
  <c r="U34" i="20"/>
  <c r="AD26" i="20"/>
  <c r="AE26" i="20" s="1"/>
  <c r="AD18" i="20"/>
  <c r="AE18" i="20" s="1"/>
  <c r="AD31" i="20"/>
  <c r="AE31" i="20" s="1"/>
  <c r="AD27" i="20"/>
  <c r="AE27" i="20" s="1"/>
  <c r="AD23" i="20"/>
  <c r="AE23" i="20" s="1"/>
  <c r="AD19" i="20"/>
  <c r="AE19" i="20" s="1"/>
  <c r="AA30" i="20"/>
  <c r="Z96" i="20"/>
  <c r="Z104" i="20"/>
  <c r="L159" i="20"/>
  <c r="L8" i="20" s="1"/>
  <c r="L181" i="20"/>
  <c r="R159" i="20"/>
  <c r="R181" i="20"/>
  <c r="AA21" i="20"/>
  <c r="Z53" i="20"/>
  <c r="Z151" i="20"/>
  <c r="AC57" i="20" l="1"/>
  <c r="AA37" i="20"/>
  <c r="AA85" i="20"/>
  <c r="AC144" i="20"/>
  <c r="AC151" i="20" s="1"/>
  <c r="AA134" i="20"/>
  <c r="AC87" i="20"/>
  <c r="AC109" i="20"/>
  <c r="AC61" i="20"/>
  <c r="AC51" i="20"/>
  <c r="AC123" i="20"/>
  <c r="AA149" i="20"/>
  <c r="AA128" i="20"/>
  <c r="AA115" i="20"/>
  <c r="AA147" i="20"/>
  <c r="AC133" i="20"/>
  <c r="AA117" i="20"/>
  <c r="AA125" i="20"/>
  <c r="AA47" i="20"/>
  <c r="AA145" i="20"/>
  <c r="AC39" i="20"/>
  <c r="AA62" i="20"/>
  <c r="AA82" i="20"/>
  <c r="AC101" i="20"/>
  <c r="AC104" i="20" s="1"/>
  <c r="AA137" i="20"/>
  <c r="AA114" i="20"/>
  <c r="AA35" i="20"/>
  <c r="AC60" i="20"/>
  <c r="AA72" i="20"/>
  <c r="AC135" i="20"/>
  <c r="AA80" i="20"/>
  <c r="AA59" i="20"/>
  <c r="AA154" i="20"/>
  <c r="AA81" i="20"/>
  <c r="AA52" i="20"/>
  <c r="AA41" i="20"/>
  <c r="AC124" i="20"/>
  <c r="AA129" i="20"/>
  <c r="AA93" i="20"/>
  <c r="AA48" i="20"/>
  <c r="AC138" i="20"/>
  <c r="AA95" i="20"/>
  <c r="AA112" i="20"/>
  <c r="AC140" i="20"/>
  <c r="AA46" i="20"/>
  <c r="AA102" i="20"/>
  <c r="AA73" i="20"/>
  <c r="AC127" i="20"/>
  <c r="AA110" i="20"/>
  <c r="AA76" i="20"/>
  <c r="AA150" i="20"/>
  <c r="AA148" i="20"/>
  <c r="AC121" i="20"/>
  <c r="AC84" i="20"/>
  <c r="AC94" i="20"/>
  <c r="AC96" i="20" s="1"/>
  <c r="AC130" i="20"/>
  <c r="AA74" i="20"/>
  <c r="AC136" i="20"/>
  <c r="AC139" i="20"/>
  <c r="U53" i="20"/>
  <c r="AA50" i="20"/>
  <c r="AA91" i="20"/>
  <c r="AA116" i="20"/>
  <c r="AC77" i="20"/>
  <c r="AA126" i="20"/>
  <c r="U77" i="20"/>
  <c r="U96" i="20"/>
  <c r="AC131" i="20"/>
  <c r="U42" i="20"/>
  <c r="AA92" i="20"/>
  <c r="AC45" i="20"/>
  <c r="U141" i="20"/>
  <c r="U88" i="20"/>
  <c r="AA75" i="20"/>
  <c r="AA146" i="20"/>
  <c r="U151" i="20"/>
  <c r="U104" i="20"/>
  <c r="AA38" i="20"/>
  <c r="AA63" i="20"/>
  <c r="AA153" i="20"/>
  <c r="U118" i="20"/>
  <c r="AA58" i="20"/>
  <c r="AC132" i="20"/>
  <c r="U64" i="20"/>
  <c r="AA40" i="20"/>
  <c r="AC40" i="20"/>
  <c r="AA103" i="20"/>
  <c r="AA71" i="20"/>
  <c r="AA83" i="20"/>
  <c r="AA86" i="20"/>
  <c r="AA113" i="20"/>
  <c r="AA155" i="20"/>
  <c r="AC155" i="20"/>
  <c r="R8" i="20"/>
  <c r="N9" i="15" s="1"/>
  <c r="O9" i="15" s="1"/>
  <c r="O8" i="20"/>
  <c r="N8" i="15" s="1"/>
  <c r="O8" i="15" s="1"/>
  <c r="I8" i="20"/>
  <c r="N6" i="15" s="1"/>
  <c r="O6" i="15" s="1"/>
  <c r="N7" i="15"/>
  <c r="O7" i="15" s="1"/>
  <c r="M118" i="18"/>
  <c r="J118" i="18"/>
  <c r="J157" i="18" s="1"/>
  <c r="V111" i="18"/>
  <c r="Z111" i="20"/>
  <c r="S118" i="18"/>
  <c r="S157" i="18" s="1"/>
  <c r="P118" i="18"/>
  <c r="P157" i="18" s="1"/>
  <c r="AE34" i="20"/>
  <c r="AD34" i="20"/>
  <c r="Z98" i="20"/>
  <c r="Z106" i="20" s="1"/>
  <c r="AA151" i="20" l="1"/>
  <c r="AC88" i="20"/>
  <c r="AC98" i="20" s="1"/>
  <c r="AC106" i="20" s="1"/>
  <c r="AA141" i="20"/>
  <c r="AC53" i="20"/>
  <c r="AA88" i="20"/>
  <c r="AC122" i="20"/>
  <c r="AC141" i="20" s="1"/>
  <c r="AC56" i="20"/>
  <c r="AC64" i="20" s="1"/>
  <c r="AA53" i="20"/>
  <c r="AA64" i="20"/>
  <c r="AA77" i="20"/>
  <c r="AA104" i="20"/>
  <c r="U98" i="20"/>
  <c r="U106" i="20" s="1"/>
  <c r="U157" i="20" s="1"/>
  <c r="AA96" i="20"/>
  <c r="U66" i="20"/>
  <c r="U6" i="20" s="1"/>
  <c r="O10" i="15"/>
  <c r="M12" i="15" s="1"/>
  <c r="E2" i="20" s="1"/>
  <c r="M157" i="18"/>
  <c r="M7" i="18" s="1"/>
  <c r="S7" i="18"/>
  <c r="S183" i="18"/>
  <c r="M183" i="18"/>
  <c r="J7" i="18"/>
  <c r="J183" i="18"/>
  <c r="Z118" i="20"/>
  <c r="Z157" i="20" s="1"/>
  <c r="AA111" i="20"/>
  <c r="AA118" i="20" s="1"/>
  <c r="P7" i="18"/>
  <c r="P183" i="18"/>
  <c r="V118" i="18"/>
  <c r="V157" i="18" s="1"/>
  <c r="AB111" i="20"/>
  <c r="Y111" i="18"/>
  <c r="Y118" i="18" s="1"/>
  <c r="U181" i="20"/>
  <c r="U183" i="20"/>
  <c r="C17" i="15"/>
  <c r="B16" i="15" s="1"/>
  <c r="D18" i="3" s="1"/>
  <c r="AA98" i="20" l="1"/>
  <c r="AA106" i="20" s="1"/>
  <c r="AA157" i="20" s="1"/>
  <c r="AA7" i="20" s="1"/>
  <c r="U159" i="20"/>
  <c r="U8" i="20" s="1"/>
  <c r="U7" i="20"/>
  <c r="AD155" i="20"/>
  <c r="AE155" i="20" s="1"/>
  <c r="AD149" i="20"/>
  <c r="AE149" i="20" s="1"/>
  <c r="AD145" i="20"/>
  <c r="AE145" i="20" s="1"/>
  <c r="AD138" i="20"/>
  <c r="AE138" i="20" s="1"/>
  <c r="AD134" i="20"/>
  <c r="AE134" i="20" s="1"/>
  <c r="AD130" i="20"/>
  <c r="AE130" i="20" s="1"/>
  <c r="AD126" i="20"/>
  <c r="AE126" i="20" s="1"/>
  <c r="AD122" i="20"/>
  <c r="AE122" i="20" s="1"/>
  <c r="AD115" i="20"/>
  <c r="AE115" i="20" s="1"/>
  <c r="AD111" i="20"/>
  <c r="AE111" i="20" s="1"/>
  <c r="AD102" i="20"/>
  <c r="AE102" i="20" s="1"/>
  <c r="AD93" i="20"/>
  <c r="AE93" i="20" s="1"/>
  <c r="AD86" i="20"/>
  <c r="AE86" i="20" s="1"/>
  <c r="AD82" i="20"/>
  <c r="AE82" i="20" s="1"/>
  <c r="AD75" i="20"/>
  <c r="AE75" i="20" s="1"/>
  <c r="AD71" i="20"/>
  <c r="AD60" i="20"/>
  <c r="AE60" i="20" s="1"/>
  <c r="AD56" i="20"/>
  <c r="AD48" i="20"/>
  <c r="AE48" i="20" s="1"/>
  <c r="AD41" i="20"/>
  <c r="AE41" i="20" s="1"/>
  <c r="AD37" i="20"/>
  <c r="AE37" i="20" s="1"/>
  <c r="AD147" i="20"/>
  <c r="AE147" i="20" s="1"/>
  <c r="AD136" i="20"/>
  <c r="AE136" i="20" s="1"/>
  <c r="AD128" i="20"/>
  <c r="AE128" i="20" s="1"/>
  <c r="AD124" i="20"/>
  <c r="AE124" i="20" s="1"/>
  <c r="AD113" i="20"/>
  <c r="AE113" i="20" s="1"/>
  <c r="AD95" i="20"/>
  <c r="AE95" i="20" s="1"/>
  <c r="AD84" i="20"/>
  <c r="AE84" i="20" s="1"/>
  <c r="AD73" i="20"/>
  <c r="AE73" i="20" s="1"/>
  <c r="AD58" i="20"/>
  <c r="AE58" i="20" s="1"/>
  <c r="AD46" i="20"/>
  <c r="AE46" i="20" s="1"/>
  <c r="AD146" i="20"/>
  <c r="AE146" i="20" s="1"/>
  <c r="AD135" i="20"/>
  <c r="AE135" i="20" s="1"/>
  <c r="AD127" i="20"/>
  <c r="AE127" i="20" s="1"/>
  <c r="AD123" i="20"/>
  <c r="AE123" i="20" s="1"/>
  <c r="AD103" i="20"/>
  <c r="AE103" i="20" s="1"/>
  <c r="AD87" i="20"/>
  <c r="AE87" i="20" s="1"/>
  <c r="AD76" i="20"/>
  <c r="AE76" i="20" s="1"/>
  <c r="AD61" i="20"/>
  <c r="AE61" i="20" s="1"/>
  <c r="AD50" i="20"/>
  <c r="AE50" i="20" s="1"/>
  <c r="AD154" i="20"/>
  <c r="AE154" i="20" s="1"/>
  <c r="AD148" i="20"/>
  <c r="AE148" i="20" s="1"/>
  <c r="AD144" i="20"/>
  <c r="AD137" i="20"/>
  <c r="AE137" i="20" s="1"/>
  <c r="AD133" i="20"/>
  <c r="AE133" i="20" s="1"/>
  <c r="AD129" i="20"/>
  <c r="AE129" i="20" s="1"/>
  <c r="AD125" i="20"/>
  <c r="AE125" i="20" s="1"/>
  <c r="AD121" i="20"/>
  <c r="AD114" i="20"/>
  <c r="AE114" i="20" s="1"/>
  <c r="AD110" i="20"/>
  <c r="AE110" i="20" s="1"/>
  <c r="AD101" i="20"/>
  <c r="AD92" i="20"/>
  <c r="AE92" i="20" s="1"/>
  <c r="AD85" i="20"/>
  <c r="AE85" i="20" s="1"/>
  <c r="AD81" i="20"/>
  <c r="AE81" i="20" s="1"/>
  <c r="AD74" i="20"/>
  <c r="AE74" i="20" s="1"/>
  <c r="AD63" i="20"/>
  <c r="AE63" i="20" s="1"/>
  <c r="AD59" i="20"/>
  <c r="AE59" i="20" s="1"/>
  <c r="AD52" i="20"/>
  <c r="AE52" i="20" s="1"/>
  <c r="AD47" i="20"/>
  <c r="AE47" i="20" s="1"/>
  <c r="AD40" i="20"/>
  <c r="AE40" i="20" s="1"/>
  <c r="AD35" i="20"/>
  <c r="AD153" i="20"/>
  <c r="AE153" i="20" s="1"/>
  <c r="AD140" i="20"/>
  <c r="AE140" i="20" s="1"/>
  <c r="AD132" i="20"/>
  <c r="AE132" i="20" s="1"/>
  <c r="AD117" i="20"/>
  <c r="AE117" i="20" s="1"/>
  <c r="AD109" i="20"/>
  <c r="AD91" i="20"/>
  <c r="AD80" i="20"/>
  <c r="AD62" i="20"/>
  <c r="AE62" i="20" s="1"/>
  <c r="AD51" i="20"/>
  <c r="AE51" i="20" s="1"/>
  <c r="AD39" i="20"/>
  <c r="AE39" i="20" s="1"/>
  <c r="AD150" i="20"/>
  <c r="AE150" i="20" s="1"/>
  <c r="AD139" i="20"/>
  <c r="AE139" i="20" s="1"/>
  <c r="AD131" i="20"/>
  <c r="AE131" i="20" s="1"/>
  <c r="AD116" i="20"/>
  <c r="AE116" i="20" s="1"/>
  <c r="AD112" i="20"/>
  <c r="AE112" i="20" s="1"/>
  <c r="AD94" i="20"/>
  <c r="AE94" i="20" s="1"/>
  <c r="AD83" i="20"/>
  <c r="AE83" i="20" s="1"/>
  <c r="AD72" i="20"/>
  <c r="AE72" i="20" s="1"/>
  <c r="AD57" i="20"/>
  <c r="AE57" i="20" s="1"/>
  <c r="AD45" i="20"/>
  <c r="AD38" i="20"/>
  <c r="AE38" i="20" s="1"/>
  <c r="Y157" i="18"/>
  <c r="Y7" i="18" s="1"/>
  <c r="I12" i="15"/>
  <c r="G16" i="15"/>
  <c r="Z7" i="20"/>
  <c r="Z183" i="20"/>
  <c r="AA183" i="20" s="1"/>
  <c r="V7" i="18"/>
  <c r="AB118" i="20"/>
  <c r="AB157" i="20" s="1"/>
  <c r="AC111" i="20"/>
  <c r="AC118" i="20" s="1"/>
  <c r="AD183" i="20"/>
  <c r="AE183" i="20" s="1"/>
  <c r="AD181" i="20"/>
  <c r="AE181" i="20" s="1"/>
  <c r="C18" i="15"/>
  <c r="AE80" i="20" l="1"/>
  <c r="AE88" i="20" s="1"/>
  <c r="AD88" i="20"/>
  <c r="AE91" i="20"/>
  <c r="AE96" i="20" s="1"/>
  <c r="AD96" i="20"/>
  <c r="AE101" i="20"/>
  <c r="AE104" i="20" s="1"/>
  <c r="AD104" i="20"/>
  <c r="AD151" i="20"/>
  <c r="AE144" i="20"/>
  <c r="AE151" i="20" s="1"/>
  <c r="AE109" i="20"/>
  <c r="AE118" i="20" s="1"/>
  <c r="AD118" i="20"/>
  <c r="AE56" i="20"/>
  <c r="AE64" i="20" s="1"/>
  <c r="AD64" i="20"/>
  <c r="AE121" i="20"/>
  <c r="AE141" i="20" s="1"/>
  <c r="AD141" i="20"/>
  <c r="AE71" i="20"/>
  <c r="AE77" i="20" s="1"/>
  <c r="AD77" i="20"/>
  <c r="AE45" i="20"/>
  <c r="AE53" i="20" s="1"/>
  <c r="AD53" i="20"/>
  <c r="AE35" i="20"/>
  <c r="AE42" i="20" s="1"/>
  <c r="AD42" i="20"/>
  <c r="AC157" i="20"/>
  <c r="AC7" i="20" s="1"/>
  <c r="I22" i="15"/>
  <c r="D19" i="3" s="1"/>
  <c r="J12" i="15"/>
  <c r="AB7" i="20"/>
  <c r="C19" i="15"/>
  <c r="B17" i="15"/>
  <c r="AE98" i="20" l="1"/>
  <c r="AE106" i="20" s="1"/>
  <c r="AE157" i="20" s="1"/>
  <c r="AE7" i="20" s="1"/>
  <c r="AD98" i="20"/>
  <c r="AD106" i="20" s="1"/>
  <c r="AD157" i="20" s="1"/>
  <c r="AD7" i="20" s="1"/>
  <c r="AD66" i="20"/>
  <c r="AE66" i="20"/>
  <c r="I4" i="20"/>
  <c r="U4" i="20" s="1"/>
  <c r="E3" i="21"/>
  <c r="B11" i="19"/>
  <c r="B4" i="17"/>
  <c r="I4" i="18"/>
  <c r="V4" i="18" s="1"/>
  <c r="B3" i="14"/>
  <c r="E20" i="21"/>
  <c r="D11" i="14"/>
  <c r="E7" i="17"/>
  <c r="I13" i="18"/>
  <c r="D35" i="14"/>
  <c r="D22" i="14"/>
  <c r="B18" i="15"/>
  <c r="C20" i="15"/>
  <c r="B19" i="15" s="1"/>
  <c r="AE6" i="20" l="1"/>
  <c r="AE159" i="20"/>
  <c r="AE8" i="20" s="1"/>
  <c r="AD6" i="20"/>
  <c r="AD159" i="20"/>
  <c r="AD8" i="20" s="1"/>
  <c r="C21" i="15"/>
  <c r="B20" i="15" s="1"/>
  <c r="F16" i="15" l="1"/>
  <c r="C22" i="15"/>
  <c r="B21" i="15" s="1"/>
  <c r="B467" i="15"/>
  <c r="B377" i="15"/>
  <c r="B324" i="15"/>
  <c r="B543" i="15"/>
  <c r="B253" i="15"/>
  <c r="B194" i="15"/>
  <c r="B475" i="15"/>
  <c r="B201" i="15"/>
  <c r="B693" i="15"/>
  <c r="B184" i="15"/>
  <c r="B149" i="15"/>
  <c r="B662" i="15"/>
  <c r="B140" i="15"/>
  <c r="B185" i="15"/>
  <c r="B708" i="15"/>
  <c r="B212" i="15"/>
  <c r="B634" i="15"/>
  <c r="B789" i="15"/>
  <c r="B652" i="15"/>
  <c r="B711" i="15"/>
  <c r="B563" i="15"/>
  <c r="B339" i="15"/>
  <c r="B518" i="15"/>
  <c r="B451" i="15"/>
  <c r="B666" i="15"/>
  <c r="B203" i="15"/>
  <c r="B735" i="15"/>
  <c r="B173" i="15"/>
  <c r="B620" i="15"/>
  <c r="B464" i="15"/>
  <c r="B291" i="15"/>
  <c r="B490" i="15"/>
  <c r="B744" i="15"/>
  <c r="B509" i="15"/>
  <c r="B723" i="15"/>
  <c r="B373" i="15"/>
  <c r="B151" i="15"/>
  <c r="B571" i="15"/>
  <c r="B582" i="15"/>
  <c r="B609" i="15"/>
  <c r="B371" i="15"/>
  <c r="B282" i="15"/>
  <c r="B771" i="15"/>
  <c r="B678" i="15"/>
  <c r="B153" i="15"/>
  <c r="B739" i="15"/>
  <c r="B757" i="15"/>
  <c r="B422" i="15"/>
  <c r="B271" i="15"/>
  <c r="B523" i="15"/>
  <c r="B436" i="15"/>
  <c r="B286" i="15"/>
  <c r="B606" i="15"/>
  <c r="B688" i="15"/>
  <c r="B235" i="15"/>
  <c r="B598" i="15"/>
  <c r="B244" i="15"/>
  <c r="B485" i="15"/>
  <c r="B651" i="15"/>
  <c r="B127" i="15"/>
  <c r="B246" i="15"/>
  <c r="B618" i="15"/>
  <c r="B444" i="15"/>
  <c r="B650" i="15"/>
  <c r="B438" i="15"/>
  <c r="B170" i="15"/>
  <c r="B341" i="15"/>
  <c r="B241" i="15"/>
  <c r="B547" i="15"/>
  <c r="B692" i="15"/>
  <c r="B221" i="15"/>
  <c r="B427" i="15"/>
  <c r="B142" i="15"/>
  <c r="B354" i="15"/>
  <c r="B742" i="15"/>
  <c r="B433" i="15"/>
  <c r="B784" i="15"/>
  <c r="B156" i="15"/>
  <c r="B510" i="15"/>
  <c r="B180" i="15"/>
  <c r="B647" i="15"/>
  <c r="B631" i="15"/>
  <c r="B640" i="15"/>
  <c r="B546" i="15"/>
  <c r="B747" i="15"/>
  <c r="B197" i="15"/>
  <c r="B393" i="15"/>
  <c r="B196" i="15"/>
  <c r="B268" i="15"/>
  <c r="B315" i="15"/>
  <c r="B551" i="15"/>
  <c r="B249" i="15"/>
  <c r="B562" i="15"/>
  <c r="B434" i="15"/>
  <c r="B398" i="15"/>
  <c r="B672" i="15"/>
  <c r="B648" i="15"/>
  <c r="B473" i="15"/>
  <c r="B633" i="15"/>
  <c r="B782" i="15"/>
  <c r="B488" i="15"/>
  <c r="B635" i="15"/>
  <c r="B413" i="15"/>
  <c r="B778" i="15"/>
  <c r="B378" i="15"/>
  <c r="B283" i="15"/>
  <c r="B392" i="15"/>
  <c r="B577" i="15"/>
  <c r="B677" i="15"/>
  <c r="B267" i="15"/>
  <c r="B641" i="15"/>
  <c r="B216" i="15"/>
  <c r="B421" i="15"/>
  <c r="B126" i="15"/>
  <c r="B288" i="15"/>
  <c r="B579" i="15"/>
  <c r="B590" i="15"/>
  <c r="B395" i="15"/>
  <c r="B174" i="15"/>
  <c r="B260" i="15"/>
  <c r="B172" i="15"/>
  <c r="B349" i="15"/>
  <c r="B674" i="15"/>
  <c r="B258" i="15"/>
  <c r="B463" i="15"/>
  <c r="B683" i="15"/>
  <c r="B187" i="15"/>
  <c r="B273" i="15"/>
  <c r="B671" i="15"/>
  <c r="B462" i="15"/>
  <c r="B479" i="15"/>
  <c r="B343" i="15"/>
  <c r="B118" i="15"/>
  <c r="B753" i="15"/>
  <c r="B689" i="15"/>
  <c r="B285" i="15"/>
  <c r="B748" i="15"/>
  <c r="B545" i="15"/>
  <c r="B701" i="15"/>
  <c r="B442" i="15"/>
  <c r="B308" i="15"/>
  <c r="B457" i="15"/>
  <c r="B114" i="15"/>
  <c r="B233" i="15"/>
  <c r="B435" i="15"/>
  <c r="B416" i="15"/>
  <c r="B632" i="15"/>
  <c r="B316" i="15"/>
  <c r="B440" i="15"/>
  <c r="B616" i="15"/>
  <c r="B198" i="15"/>
  <c r="B600" i="15"/>
  <c r="B781" i="15"/>
  <c r="B369" i="15"/>
  <c r="B737" i="15"/>
  <c r="B504" i="15"/>
  <c r="B352" i="15"/>
  <c r="B206" i="15"/>
  <c r="B603" i="15"/>
  <c r="B776" i="15"/>
  <c r="B455" i="15"/>
  <c r="B529" i="15"/>
  <c r="B344" i="15"/>
  <c r="B745" i="15"/>
  <c r="B561" i="15"/>
  <c r="B168" i="15"/>
  <c r="B569" i="15"/>
  <c r="B767" i="15"/>
  <c r="B507" i="15"/>
  <c r="B472" i="15"/>
  <c r="B430" i="15"/>
  <c r="B119" i="15"/>
  <c r="B646" i="15"/>
  <c r="B137" i="15"/>
  <c r="B394" i="15"/>
  <c r="B223" i="15"/>
  <c r="B397" i="15"/>
  <c r="B736" i="15"/>
  <c r="B639" i="15"/>
  <c r="B437" i="15"/>
  <c r="B231" i="15"/>
  <c r="B630" i="15"/>
  <c r="B368" i="15"/>
  <c r="B617" i="15"/>
  <c r="B623" i="15"/>
  <c r="B657" i="15"/>
  <c r="B224" i="15"/>
  <c r="B357" i="15"/>
  <c r="B239" i="15"/>
  <c r="B426" i="15"/>
  <c r="B182" i="15"/>
  <c r="B684" i="15"/>
  <c r="B219" i="15"/>
  <c r="B596" i="15"/>
  <c r="B179" i="15"/>
  <c r="B252" i="15"/>
  <c r="B732" i="15"/>
  <c r="B232" i="15"/>
  <c r="B359" i="15"/>
  <c r="B535" i="15"/>
  <c r="B350" i="15"/>
  <c r="B326" i="15"/>
  <c r="B721" i="15"/>
  <c r="B682" i="15"/>
  <c r="B355" i="15"/>
  <c r="B200" i="15"/>
  <c r="B454" i="15"/>
  <c r="B257" i="15"/>
  <c r="B163" i="15"/>
  <c r="B700" i="15"/>
  <c r="B157" i="15"/>
  <c r="B480" i="15"/>
  <c r="B171" i="15"/>
  <c r="B293" i="15"/>
  <c r="B154" i="15"/>
  <c r="B586" i="15"/>
  <c r="B492" i="15"/>
  <c r="B511" i="15"/>
  <c r="B581" i="15"/>
  <c r="B528" i="15"/>
  <c r="B712" i="15"/>
  <c r="B477" i="15"/>
  <c r="B629" i="15"/>
  <c r="B727" i="15"/>
  <c r="B311" i="15"/>
  <c r="B720" i="15"/>
  <c r="B407" i="15"/>
  <c r="B310" i="15"/>
  <c r="B338" i="15"/>
  <c r="B248" i="15"/>
  <c r="B709" i="15"/>
  <c r="B228" i="15"/>
  <c r="B429" i="15"/>
  <c r="B322" i="15"/>
  <c r="B557" i="15"/>
  <c r="B560" i="15"/>
  <c r="B116" i="15"/>
  <c r="B204" i="15"/>
  <c r="B522" i="15"/>
  <c r="B460" i="15"/>
  <c r="B132" i="15"/>
  <c r="B243" i="15"/>
  <c r="B334" i="15"/>
  <c r="B766" i="15"/>
  <c r="B250" i="15"/>
  <c r="B227" i="15"/>
  <c r="B345" i="15"/>
  <c r="B404" i="15"/>
  <c r="B390" i="15"/>
  <c r="B306" i="15"/>
  <c r="B420" i="15"/>
  <c r="B578" i="15"/>
  <c r="B190" i="15"/>
  <c r="B265" i="15"/>
  <c r="B487" i="15"/>
  <c r="B705" i="15"/>
  <c r="B302" i="15"/>
  <c r="B240" i="15"/>
  <c r="B134" i="15"/>
  <c r="B439" i="15"/>
  <c r="B207" i="15"/>
  <c r="B681" i="15"/>
  <c r="B403" i="15"/>
  <c r="B670" i="15"/>
  <c r="B348" i="15"/>
  <c r="B410" i="15"/>
  <c r="B117" i="15"/>
  <c r="B129" i="15"/>
  <c r="B659" i="15"/>
  <c r="B278" i="15"/>
  <c r="B604" i="15"/>
  <c r="B313" i="15"/>
  <c r="B130" i="15"/>
  <c r="B205" i="15"/>
  <c r="B459" i="15"/>
  <c r="B290" i="15"/>
  <c r="B589" i="15"/>
  <c r="B715" i="15"/>
  <c r="B266" i="15"/>
  <c r="B409" i="15"/>
  <c r="B734" i="15"/>
  <c r="B262" i="15"/>
  <c r="B269" i="15"/>
  <c r="B572" i="15"/>
  <c r="B595" i="15"/>
  <c r="B559" i="15"/>
  <c r="B658" i="15"/>
  <c r="B770" i="15"/>
  <c r="B255" i="15"/>
  <c r="B188" i="15"/>
  <c r="B411" i="15"/>
  <c r="B713" i="15"/>
  <c r="B115" i="15"/>
  <c r="B299" i="15"/>
  <c r="B486" i="15"/>
  <c r="B500" i="15"/>
  <c r="B332" i="15"/>
  <c r="B527" i="15"/>
  <c r="B591" i="15"/>
  <c r="B251" i="15"/>
  <c r="B166" i="15"/>
  <c r="B501" i="15"/>
  <c r="B136" i="15"/>
  <c r="B759" i="15"/>
  <c r="B718" i="15"/>
  <c r="B751" i="15"/>
  <c r="B323" i="15"/>
  <c r="B381" i="15"/>
  <c r="B167" i="15"/>
  <c r="B661" i="15"/>
  <c r="B663" i="15"/>
  <c r="B588" i="15"/>
  <c r="B138" i="15"/>
  <c r="B448" i="15"/>
  <c r="B281" i="15"/>
  <c r="B669" i="15"/>
  <c r="B540" i="15"/>
  <c r="B520" i="15"/>
  <c r="B685" i="15"/>
  <c r="B417" i="15"/>
  <c r="B483" i="15"/>
  <c r="B208" i="15"/>
  <c r="B746" i="15"/>
  <c r="B360" i="15"/>
  <c r="B329" i="15"/>
  <c r="B517" i="15"/>
  <c r="B695" i="15"/>
  <c r="B707" i="15"/>
  <c r="B786" i="15"/>
  <c r="B614" i="15"/>
  <c r="B542" i="15"/>
  <c r="B372" i="15"/>
  <c r="B186" i="15"/>
  <c r="B558" i="15"/>
  <c r="B773" i="15"/>
  <c r="B769" i="15"/>
  <c r="B365" i="15"/>
  <c r="B270" i="15"/>
  <c r="B396" i="15"/>
  <c r="B612" i="15"/>
  <c r="B263" i="15"/>
  <c r="B638" i="15"/>
  <c r="B625" i="15"/>
  <c r="B704" i="15"/>
  <c r="B284" i="15"/>
  <c r="B676" i="15"/>
  <c r="B608" i="15"/>
  <c r="B445" i="15"/>
  <c r="B247" i="15"/>
  <c r="B450" i="15"/>
  <c r="B325" i="15"/>
  <c r="B468" i="15"/>
  <c r="B602" i="15"/>
  <c r="B696" i="15"/>
  <c r="B370" i="15"/>
  <c r="B471" i="15"/>
  <c r="B131" i="15"/>
  <c r="B749" i="15"/>
  <c r="B150" i="15"/>
  <c r="B690" i="15"/>
  <c r="B470" i="15"/>
  <c r="B337" i="15"/>
  <c r="B111" i="15"/>
  <c r="B456" i="15"/>
  <c r="B716" i="15"/>
  <c r="B619" i="15"/>
  <c r="B668" i="15"/>
  <c r="B694" i="15"/>
  <c r="B336" i="15"/>
  <c r="B506" i="15"/>
  <c r="B376" i="15"/>
  <c r="B768" i="15"/>
  <c r="B649" i="15"/>
  <c r="B785" i="15"/>
  <c r="B141" i="15"/>
  <c r="B318" i="15"/>
  <c r="B758" i="15"/>
  <c r="B210" i="15"/>
  <c r="B217" i="15"/>
  <c r="B327" i="15"/>
  <c r="B441" i="15"/>
  <c r="B405" i="15"/>
  <c r="B317" i="15"/>
  <c r="B537" i="15"/>
  <c r="B717" i="15"/>
  <c r="B406" i="15"/>
  <c r="B627" i="15"/>
  <c r="B391" i="15"/>
  <c r="B164" i="15"/>
  <c r="B553" i="15"/>
  <c r="B555" i="15"/>
  <c r="B159" i="15"/>
  <c r="B375" i="15"/>
  <c r="B346" i="15"/>
  <c r="B331" i="15"/>
  <c r="B380" i="15"/>
  <c r="B399" i="15"/>
  <c r="B469" i="15"/>
  <c r="B256" i="15"/>
  <c r="B147" i="15"/>
  <c r="B245" i="15"/>
  <c r="B113" i="15"/>
  <c r="B541" i="15"/>
  <c r="B687" i="15"/>
  <c r="B755" i="15"/>
  <c r="B400" i="15"/>
  <c r="B143" i="15"/>
  <c r="B644" i="15"/>
  <c r="B763" i="15"/>
  <c r="B385" i="15"/>
  <c r="B667" i="15"/>
  <c r="B706" i="15"/>
  <c r="B415" i="15"/>
  <c r="B538" i="15"/>
  <c r="B292" i="15"/>
  <c r="B181" i="15"/>
  <c r="B675" i="15"/>
  <c r="B189" i="15"/>
  <c r="B530" i="15"/>
  <c r="B628" i="15"/>
  <c r="B772" i="15"/>
  <c r="B161" i="15"/>
  <c r="B585" i="15"/>
  <c r="B660" i="15"/>
  <c r="B489" i="15"/>
  <c r="B307" i="15"/>
  <c r="B779" i="15"/>
  <c r="B762" i="15"/>
  <c r="B599" i="15"/>
  <c r="B476" i="15"/>
  <c r="B312" i="15"/>
  <c r="B351" i="15"/>
  <c r="B574" i="15"/>
  <c r="B575" i="15"/>
  <c r="B567" i="15"/>
  <c r="B123" i="15"/>
  <c r="B254" i="15"/>
  <c r="B379" i="15"/>
  <c r="B402" i="15"/>
  <c r="B428" i="15"/>
  <c r="B788" i="15"/>
  <c r="B358" i="15"/>
  <c r="B363" i="15"/>
  <c r="B607" i="15"/>
  <c r="B726" i="15"/>
  <c r="B601" i="15"/>
  <c r="B169" i="15"/>
  <c r="B497" i="15"/>
  <c r="B741" i="15"/>
  <c r="B653" i="15"/>
  <c r="B259" i="15"/>
  <c r="B780" i="15"/>
  <c r="B300" i="15"/>
  <c r="B738" i="15"/>
  <c r="B787" i="15"/>
  <c r="B611" i="15"/>
  <c r="B702" i="15"/>
  <c r="B664" i="15"/>
  <c r="B496" i="15"/>
  <c r="B401" i="15"/>
  <c r="B155" i="15"/>
  <c r="B626" i="15"/>
  <c r="B724" i="15"/>
  <c r="B321" i="15"/>
  <c r="B144" i="15"/>
  <c r="B774" i="15"/>
  <c r="B525" i="15"/>
  <c r="B237" i="15"/>
  <c r="B484" i="15"/>
  <c r="B374" i="15"/>
  <c r="B242" i="15"/>
  <c r="B498" i="15"/>
  <c r="B274" i="15"/>
  <c r="B533" i="15"/>
  <c r="B764" i="15"/>
  <c r="B295" i="15"/>
  <c r="B729" i="15"/>
  <c r="B364" i="15"/>
  <c r="B556" i="15"/>
  <c r="B133" i="15"/>
  <c r="B146" i="15"/>
  <c r="B120" i="15"/>
  <c r="B330" i="15"/>
  <c r="B193" i="15"/>
  <c r="B225" i="15"/>
  <c r="B220" i="15"/>
  <c r="B183" i="15"/>
  <c r="B699" i="15"/>
  <c r="B202" i="15"/>
  <c r="B656" i="15"/>
  <c r="B192" i="15"/>
  <c r="B432" i="15"/>
  <c r="B752" i="15"/>
  <c r="B655" i="15"/>
  <c r="B544" i="15"/>
  <c r="B526" i="15"/>
  <c r="B502" i="15"/>
  <c r="B731" i="15"/>
  <c r="B680" i="15"/>
  <c r="B777" i="15"/>
  <c r="B366" i="15"/>
  <c r="B605" i="15"/>
  <c r="B367" i="15"/>
  <c r="B449" i="15"/>
  <c r="B303" i="15"/>
  <c r="B587" i="15"/>
  <c r="B642" i="15"/>
  <c r="B229" i="15"/>
  <c r="B548" i="15"/>
  <c r="B524" i="15"/>
  <c r="B495" i="15"/>
  <c r="B453" i="15"/>
  <c r="B125" i="15"/>
  <c r="B576" i="15"/>
  <c r="B478" i="15"/>
  <c r="B388" i="15"/>
  <c r="B493" i="15"/>
  <c r="B615" i="15"/>
  <c r="B298" i="15"/>
  <c r="B761" i="15"/>
  <c r="B135" i="15"/>
  <c r="B309" i="15"/>
  <c r="B165" i="15"/>
  <c r="B275" i="15"/>
  <c r="B584" i="15"/>
  <c r="B733" i="15"/>
  <c r="B238" i="15"/>
  <c r="B319" i="15"/>
  <c r="B272" i="15"/>
  <c r="B673" i="15"/>
  <c r="B158" i="15"/>
  <c r="B743" i="15"/>
  <c r="B176" i="15"/>
  <c r="B304" i="15"/>
  <c r="B261" i="15"/>
  <c r="B431" i="15"/>
  <c r="B177" i="15"/>
  <c r="B191" i="15"/>
  <c r="B725" i="15"/>
  <c r="B320" i="15"/>
  <c r="B637" i="15"/>
  <c r="B624" i="15"/>
  <c r="B162" i="15"/>
  <c r="B297" i="15"/>
  <c r="B552" i="15"/>
  <c r="B532" i="15"/>
  <c r="B593" i="15"/>
  <c r="B513" i="15"/>
  <c r="B353" i="15"/>
  <c r="B287" i="15"/>
  <c r="B211" i="15"/>
  <c r="B539" i="15"/>
  <c r="B414" i="15"/>
  <c r="B289" i="15"/>
  <c r="B215" i="15"/>
  <c r="B583" i="15"/>
  <c r="B636" i="15"/>
  <c r="B305" i="15"/>
  <c r="B461" i="15"/>
  <c r="B222" i="15"/>
  <c r="B564" i="15"/>
  <c r="B622" i="15"/>
  <c r="B139" i="15"/>
  <c r="B423" i="15"/>
  <c r="B503" i="15"/>
  <c r="B386" i="15"/>
  <c r="B314" i="15"/>
  <c r="B276" i="15"/>
  <c r="B465" i="15"/>
  <c r="B279" i="15"/>
  <c r="B754" i="15"/>
  <c r="B613" i="15"/>
  <c r="B714" i="15"/>
  <c r="B750" i="15"/>
  <c r="B536" i="15"/>
  <c r="B686" i="15"/>
  <c r="B280" i="15"/>
  <c r="B592" i="15"/>
  <c r="B408" i="15"/>
  <c r="B342" i="15"/>
  <c r="B730" i="15"/>
  <c r="B505" i="15"/>
  <c r="B122" i="15"/>
  <c r="B195" i="15"/>
  <c r="B452" i="15"/>
  <c r="B383" i="15"/>
  <c r="B294" i="15"/>
  <c r="B382" i="15"/>
  <c r="B209" i="15"/>
  <c r="B213" i="15"/>
  <c r="B722" i="15"/>
  <c r="B491" i="15"/>
  <c r="B347" i="15"/>
  <c r="B443" i="15"/>
  <c r="B697" i="15"/>
  <c r="B362" i="15"/>
  <c r="B521" i="15"/>
  <c r="B665" i="15"/>
  <c r="B514" i="15"/>
  <c r="B425" i="15"/>
  <c r="B756" i="15"/>
  <c r="B419" i="15"/>
  <c r="B264" i="15"/>
  <c r="B424" i="15"/>
  <c r="B236" i="15"/>
  <c r="B333" i="15"/>
  <c r="B679" i="15"/>
  <c r="B512" i="15"/>
  <c r="B418" i="15"/>
  <c r="B474" i="15"/>
  <c r="B573" i="15"/>
  <c r="B199" i="15"/>
  <c r="B580" i="15"/>
  <c r="B534" i="15"/>
  <c r="B124" i="15"/>
  <c r="B277" i="15"/>
  <c r="B516" i="15"/>
  <c r="B760" i="15"/>
  <c r="B645" i="15"/>
  <c r="B570" i="15"/>
  <c r="B783" i="15"/>
  <c r="B519" i="15"/>
  <c r="B148" i="15"/>
  <c r="B643" i="15"/>
  <c r="B482" i="15"/>
  <c r="B152" i="15"/>
  <c r="B515" i="15"/>
  <c r="B621" i="15"/>
  <c r="B230" i="15"/>
  <c r="B458" i="15"/>
  <c r="B654" i="15"/>
  <c r="B481" i="15"/>
  <c r="B568" i="15"/>
  <c r="B178" i="15"/>
  <c r="B740" i="15"/>
  <c r="B121" i="15"/>
  <c r="B698" i="15"/>
  <c r="B112" i="15"/>
  <c r="B412" i="15"/>
  <c r="B597" i="15"/>
  <c r="B691" i="15"/>
  <c r="B110" i="15"/>
  <c r="B610" i="15"/>
  <c r="B234" i="15"/>
  <c r="B499" i="15"/>
  <c r="B531" i="15"/>
  <c r="B301" i="15"/>
  <c r="B128" i="15"/>
  <c r="B384" i="15"/>
  <c r="B328" i="15"/>
  <c r="B728" i="15"/>
  <c r="B446" i="15"/>
  <c r="B447" i="15"/>
  <c r="B175" i="15"/>
  <c r="B554" i="15"/>
  <c r="B340" i="15"/>
  <c r="B361" i="15"/>
  <c r="B765" i="15"/>
  <c r="B549" i="15"/>
  <c r="B594" i="15"/>
  <c r="B466" i="15"/>
  <c r="B218" i="15"/>
  <c r="B566" i="15"/>
  <c r="B387" i="15"/>
  <c r="B160" i="15"/>
  <c r="B775" i="15"/>
  <c r="B494" i="15"/>
  <c r="B710" i="15"/>
  <c r="B703" i="15"/>
  <c r="B226" i="15"/>
  <c r="B719" i="15"/>
  <c r="B335" i="15"/>
  <c r="B389" i="15"/>
  <c r="B508" i="15"/>
  <c r="B356" i="15"/>
  <c r="B565" i="15"/>
  <c r="B145" i="15"/>
  <c r="B550" i="15"/>
  <c r="B296" i="15"/>
  <c r="B214" i="15"/>
  <c r="F17" i="15" l="1"/>
  <c r="C23" i="15"/>
  <c r="B22" i="15" s="1"/>
  <c r="F18" i="15" l="1"/>
  <c r="F19" i="15" s="1"/>
  <c r="F20" i="15" s="1"/>
  <c r="G17" i="15"/>
  <c r="C24" i="15"/>
  <c r="B23" i="15" s="1"/>
  <c r="G18" i="15" l="1"/>
  <c r="G19" i="15"/>
  <c r="H19" i="15"/>
  <c r="C25" i="15"/>
  <c r="B25" i="15" l="1"/>
  <c r="H17" i="15"/>
  <c r="H16" i="15"/>
  <c r="H18" i="15"/>
  <c r="B24" i="15"/>
  <c r="I16" i="15" l="1"/>
  <c r="H20" i="15"/>
  <c r="G20" i="15"/>
  <c r="I17" i="15" l="1"/>
  <c r="I18" i="15" l="1"/>
  <c r="I20" i="15" l="1"/>
  <c r="I19" i="15"/>
  <c r="I5" i="15" l="1"/>
  <c r="C52" i="15" l="1"/>
  <c r="U22" i="21" s="1"/>
  <c r="C63" i="15"/>
  <c r="C62" i="15"/>
  <c r="C61" i="15"/>
  <c r="C56" i="15"/>
  <c r="C83" i="15"/>
  <c r="C67" i="15"/>
  <c r="C70" i="15"/>
  <c r="C89" i="15"/>
  <c r="C73" i="15"/>
  <c r="C59" i="15"/>
  <c r="C58" i="15"/>
  <c r="C57" i="15"/>
  <c r="C95" i="15"/>
  <c r="C79" i="15"/>
  <c r="C98" i="15"/>
  <c r="C101" i="15"/>
  <c r="C85" i="15"/>
  <c r="C69" i="15"/>
  <c r="C94" i="15"/>
  <c r="C78" i="15"/>
  <c r="C100" i="15"/>
  <c r="C92" i="15"/>
  <c r="C84" i="15"/>
  <c r="C76" i="15"/>
  <c r="C68" i="15"/>
  <c r="C55" i="15"/>
  <c r="C54" i="15"/>
  <c r="C64" i="15"/>
  <c r="C91" i="15"/>
  <c r="C75" i="15"/>
  <c r="C86" i="15"/>
  <c r="C97" i="15"/>
  <c r="C81" i="15"/>
  <c r="C66" i="15"/>
  <c r="C65" i="15"/>
  <c r="C60" i="15"/>
  <c r="C87" i="15"/>
  <c r="C71" i="15"/>
  <c r="C82" i="15"/>
  <c r="C93" i="15"/>
  <c r="C77" i="15"/>
  <c r="C53" i="15"/>
  <c r="C99" i="15"/>
  <c r="C90" i="15"/>
  <c r="C74" i="15"/>
  <c r="C96" i="15"/>
  <c r="C88" i="15"/>
  <c r="C80" i="15"/>
  <c r="C72" i="15"/>
  <c r="D800" i="15"/>
  <c r="D801" i="15" s="1" a="1"/>
  <c r="D801" i="15" s="1"/>
  <c r="B2" i="17"/>
  <c r="D799" i="15"/>
  <c r="I2" i="18"/>
  <c r="V2" i="18" s="1"/>
  <c r="B10" i="19"/>
  <c r="B2" i="14"/>
  <c r="I2" i="20"/>
  <c r="C796" i="15"/>
  <c r="E2" i="21"/>
  <c r="J5" i="15"/>
  <c r="C793" i="15" l="1"/>
  <c r="G18" i="20"/>
  <c r="H52" i="15"/>
  <c r="P18" i="18" s="1"/>
  <c r="M52" i="15"/>
  <c r="N18" i="18" s="1"/>
  <c r="O155" i="18" s="1"/>
  <c r="O52" i="15"/>
  <c r="T18" i="18" s="1"/>
  <c r="U192" i="18" s="1"/>
  <c r="N52" i="15"/>
  <c r="Q18" i="18" s="1"/>
  <c r="R187" i="18" s="1"/>
  <c r="F52" i="15"/>
  <c r="J18" i="18" s="1"/>
  <c r="Z18" i="20" s="1"/>
  <c r="G52" i="15"/>
  <c r="M18" i="18" s="1"/>
  <c r="G18" i="18"/>
  <c r="I52" i="15"/>
  <c r="S18" i="18" s="1"/>
  <c r="L52" i="15"/>
  <c r="K18" i="18" s="1"/>
  <c r="F106" i="15"/>
  <c r="O96" i="15"/>
  <c r="G96" i="15"/>
  <c r="N96" i="15"/>
  <c r="I96" i="15"/>
  <c r="U66" i="21"/>
  <c r="H96" i="15"/>
  <c r="M96" i="15"/>
  <c r="L96" i="15"/>
  <c r="F96" i="15"/>
  <c r="U23" i="21"/>
  <c r="F53" i="15"/>
  <c r="G53" i="15"/>
  <c r="M19" i="18" s="1"/>
  <c r="H53" i="15"/>
  <c r="P19" i="18" s="1"/>
  <c r="M53" i="15"/>
  <c r="N19" i="18" s="1"/>
  <c r="N53" i="15"/>
  <c r="Q19" i="18" s="1"/>
  <c r="L53" i="15"/>
  <c r="G19" i="18"/>
  <c r="O53" i="15"/>
  <c r="T19" i="18" s="1"/>
  <c r="I53" i="15"/>
  <c r="S19" i="18" s="1"/>
  <c r="G19" i="20"/>
  <c r="U41" i="21"/>
  <c r="N71" i="15"/>
  <c r="M71" i="15"/>
  <c r="L71" i="15"/>
  <c r="H71" i="15"/>
  <c r="O71" i="15"/>
  <c r="I71" i="15"/>
  <c r="F71" i="15"/>
  <c r="G71" i="15"/>
  <c r="U36" i="21"/>
  <c r="L66" i="15"/>
  <c r="N66" i="15"/>
  <c r="Q32" i="18" s="1"/>
  <c r="F66" i="15"/>
  <c r="I66" i="15"/>
  <c r="S32" i="18" s="1"/>
  <c r="G66" i="15"/>
  <c r="M32" i="18" s="1"/>
  <c r="M66" i="15"/>
  <c r="N32" i="18" s="1"/>
  <c r="O66" i="15"/>
  <c r="T32" i="18" s="1"/>
  <c r="H66" i="15"/>
  <c r="P32" i="18" s="1"/>
  <c r="G32" i="20"/>
  <c r="G32" i="18"/>
  <c r="O75" i="15"/>
  <c r="F75" i="15"/>
  <c r="G75" i="15"/>
  <c r="H75" i="15"/>
  <c r="L75" i="15"/>
  <c r="U45" i="21"/>
  <c r="N75" i="15"/>
  <c r="M75" i="15"/>
  <c r="I75" i="15"/>
  <c r="U25" i="21"/>
  <c r="N55" i="15"/>
  <c r="Q21" i="18" s="1"/>
  <c r="M55" i="15"/>
  <c r="N21" i="18" s="1"/>
  <c r="L55" i="15"/>
  <c r="H55" i="15"/>
  <c r="P21" i="18" s="1"/>
  <c r="G55" i="15"/>
  <c r="M21" i="18" s="1"/>
  <c r="I55" i="15"/>
  <c r="S21" i="18" s="1"/>
  <c r="F55" i="15"/>
  <c r="O55" i="15"/>
  <c r="T21" i="18" s="1"/>
  <c r="G21" i="20"/>
  <c r="G21" i="18"/>
  <c r="U62" i="21"/>
  <c r="M92" i="15"/>
  <c r="G92" i="15"/>
  <c r="L92" i="15"/>
  <c r="I92" i="15"/>
  <c r="H92" i="15"/>
  <c r="O92" i="15"/>
  <c r="F92" i="15"/>
  <c r="N92" i="15"/>
  <c r="U39" i="21"/>
  <c r="L69" i="15"/>
  <c r="G69" i="15"/>
  <c r="H69" i="15"/>
  <c r="O69" i="15"/>
  <c r="F69" i="15"/>
  <c r="M69" i="15"/>
  <c r="I69" i="15"/>
  <c r="N69" i="15"/>
  <c r="U49" i="21"/>
  <c r="F79" i="15"/>
  <c r="G79" i="15"/>
  <c r="O79" i="15"/>
  <c r="I79" i="15"/>
  <c r="N79" i="15"/>
  <c r="L79" i="15"/>
  <c r="H79" i="15"/>
  <c r="M79" i="15"/>
  <c r="U29" i="21"/>
  <c r="F59" i="15"/>
  <c r="G59" i="15"/>
  <c r="M25" i="18" s="1"/>
  <c r="I59" i="15"/>
  <c r="S25" i="18" s="1"/>
  <c r="O59" i="15"/>
  <c r="T25" i="18" s="1"/>
  <c r="N59" i="15"/>
  <c r="Q25" i="18" s="1"/>
  <c r="L59" i="15"/>
  <c r="M59" i="15"/>
  <c r="N25" i="18" s="1"/>
  <c r="H59" i="15"/>
  <c r="P25" i="18" s="1"/>
  <c r="G25" i="20"/>
  <c r="G25" i="18"/>
  <c r="O67" i="15"/>
  <c r="F67" i="15"/>
  <c r="G67" i="15"/>
  <c r="U37" i="21"/>
  <c r="M67" i="15"/>
  <c r="N67" i="15"/>
  <c r="I67" i="15"/>
  <c r="H67" i="15"/>
  <c r="L67" i="15"/>
  <c r="C102" i="15"/>
  <c r="F105" i="15"/>
  <c r="U32" i="21"/>
  <c r="O62" i="15"/>
  <c r="T28" i="18" s="1"/>
  <c r="L62" i="15"/>
  <c r="H62" i="15"/>
  <c r="P28" i="18" s="1"/>
  <c r="F62" i="15"/>
  <c r="I62" i="15"/>
  <c r="S28" i="18" s="1"/>
  <c r="G62" i="15"/>
  <c r="M28" i="18" s="1"/>
  <c r="M62" i="15"/>
  <c r="N28" i="18" s="1"/>
  <c r="N62" i="15"/>
  <c r="Q28" i="18" s="1"/>
  <c r="G28" i="20"/>
  <c r="G28" i="18"/>
  <c r="O72" i="15"/>
  <c r="H72" i="15"/>
  <c r="N72" i="15"/>
  <c r="I72" i="15"/>
  <c r="L72" i="15"/>
  <c r="M72" i="15"/>
  <c r="U42" i="21"/>
  <c r="G72" i="15"/>
  <c r="F72" i="15"/>
  <c r="G74" i="15"/>
  <c r="O74" i="15"/>
  <c r="M74" i="15"/>
  <c r="H74" i="15"/>
  <c r="F74" i="15"/>
  <c r="I74" i="15"/>
  <c r="U44" i="21"/>
  <c r="N74" i="15"/>
  <c r="L74" i="15"/>
  <c r="U47" i="21"/>
  <c r="O77" i="15"/>
  <c r="H77" i="15"/>
  <c r="G77" i="15"/>
  <c r="L77" i="15"/>
  <c r="F77" i="15"/>
  <c r="N77" i="15"/>
  <c r="M77" i="15"/>
  <c r="I77" i="15"/>
  <c r="U57" i="21"/>
  <c r="N87" i="15"/>
  <c r="M87" i="15"/>
  <c r="L87" i="15"/>
  <c r="H87" i="15"/>
  <c r="F87" i="15"/>
  <c r="O87" i="15"/>
  <c r="I87" i="15"/>
  <c r="G87" i="15"/>
  <c r="N81" i="15"/>
  <c r="G81" i="15"/>
  <c r="H81" i="15"/>
  <c r="O81" i="15"/>
  <c r="F81" i="15"/>
  <c r="M81" i="15"/>
  <c r="U51" i="21"/>
  <c r="L81" i="15"/>
  <c r="I81" i="15"/>
  <c r="M91" i="15"/>
  <c r="N91" i="15"/>
  <c r="O91" i="15"/>
  <c r="F91" i="15"/>
  <c r="G91" i="15"/>
  <c r="H91" i="15"/>
  <c r="L91" i="15"/>
  <c r="I91" i="15"/>
  <c r="U61" i="21"/>
  <c r="U38" i="21"/>
  <c r="F68" i="15"/>
  <c r="O68" i="15"/>
  <c r="M68" i="15"/>
  <c r="I68" i="15"/>
  <c r="N68" i="15"/>
  <c r="L68" i="15"/>
  <c r="H68" i="15"/>
  <c r="G68" i="15"/>
  <c r="U70" i="21"/>
  <c r="M100" i="15"/>
  <c r="G100" i="15"/>
  <c r="L100" i="15"/>
  <c r="I100" i="15"/>
  <c r="H100" i="15"/>
  <c r="O100" i="15"/>
  <c r="F100" i="15"/>
  <c r="N100" i="15"/>
  <c r="U55" i="21"/>
  <c r="L85" i="15"/>
  <c r="G85" i="15"/>
  <c r="H85" i="15"/>
  <c r="O85" i="15"/>
  <c r="F85" i="15"/>
  <c r="I85" i="15"/>
  <c r="M85" i="15"/>
  <c r="N85" i="15"/>
  <c r="U65" i="21"/>
  <c r="N95" i="15"/>
  <c r="G95" i="15"/>
  <c r="L95" i="15"/>
  <c r="H95" i="15"/>
  <c r="O95" i="15"/>
  <c r="F95" i="15"/>
  <c r="M95" i="15"/>
  <c r="I95" i="15"/>
  <c r="N73" i="15"/>
  <c r="H73" i="15"/>
  <c r="G73" i="15"/>
  <c r="L73" i="15"/>
  <c r="I73" i="15"/>
  <c r="F73" i="15"/>
  <c r="U43" i="21"/>
  <c r="O73" i="15"/>
  <c r="M73" i="15"/>
  <c r="O83" i="15"/>
  <c r="F83" i="15"/>
  <c r="G83" i="15"/>
  <c r="M83" i="15"/>
  <c r="I83" i="15"/>
  <c r="N83" i="15"/>
  <c r="H83" i="15"/>
  <c r="U53" i="21"/>
  <c r="L83" i="15"/>
  <c r="U33" i="21"/>
  <c r="L63" i="15"/>
  <c r="H63" i="15"/>
  <c r="P29" i="18" s="1"/>
  <c r="F63" i="15"/>
  <c r="G63" i="15"/>
  <c r="M29" i="18" s="1"/>
  <c r="I63" i="15"/>
  <c r="S29" i="18" s="1"/>
  <c r="N63" i="15"/>
  <c r="Q29" i="18" s="1"/>
  <c r="O63" i="15"/>
  <c r="T29" i="18" s="1"/>
  <c r="M63" i="15"/>
  <c r="N29" i="18" s="1"/>
  <c r="G29" i="20"/>
  <c r="G29" i="18"/>
  <c r="O80" i="15"/>
  <c r="H80" i="15"/>
  <c r="N80" i="15"/>
  <c r="I80" i="15"/>
  <c r="U50" i="21"/>
  <c r="L80" i="15"/>
  <c r="M80" i="15"/>
  <c r="G80" i="15"/>
  <c r="F80" i="15"/>
  <c r="L90" i="15"/>
  <c r="N90" i="15"/>
  <c r="F90" i="15"/>
  <c r="I90" i="15"/>
  <c r="U60" i="21"/>
  <c r="G90" i="15"/>
  <c r="M90" i="15"/>
  <c r="H90" i="15"/>
  <c r="O90" i="15"/>
  <c r="U63" i="21"/>
  <c r="O93" i="15"/>
  <c r="F93" i="15"/>
  <c r="M93" i="15"/>
  <c r="G93" i="15"/>
  <c r="L93" i="15"/>
  <c r="I93" i="15"/>
  <c r="N93" i="15"/>
  <c r="H93" i="15"/>
  <c r="U30" i="21"/>
  <c r="N60" i="15"/>
  <c r="Q26" i="18" s="1"/>
  <c r="L60" i="15"/>
  <c r="F60" i="15"/>
  <c r="O60" i="15"/>
  <c r="T26" i="18" s="1"/>
  <c r="I60" i="15"/>
  <c r="S26" i="18" s="1"/>
  <c r="G60" i="15"/>
  <c r="M26" i="18" s="1"/>
  <c r="M60" i="15"/>
  <c r="N26" i="18" s="1"/>
  <c r="H60" i="15"/>
  <c r="P26" i="18" s="1"/>
  <c r="G26" i="18"/>
  <c r="G26" i="20"/>
  <c r="L97" i="15"/>
  <c r="H97" i="15"/>
  <c r="N97" i="15"/>
  <c r="G97" i="15"/>
  <c r="M97" i="15"/>
  <c r="U67" i="21"/>
  <c r="F97" i="15"/>
  <c r="O97" i="15"/>
  <c r="I97" i="15"/>
  <c r="U34" i="21"/>
  <c r="G64" i="15"/>
  <c r="M30" i="18" s="1"/>
  <c r="F64" i="15"/>
  <c r="M64" i="15"/>
  <c r="N30" i="18" s="1"/>
  <c r="L64" i="15"/>
  <c r="H64" i="15"/>
  <c r="P30" i="18" s="1"/>
  <c r="N64" i="15"/>
  <c r="Q30" i="18" s="1"/>
  <c r="I64" i="15"/>
  <c r="S30" i="18" s="1"/>
  <c r="O64" i="15"/>
  <c r="T30" i="18" s="1"/>
  <c r="G30" i="20"/>
  <c r="G30" i="18"/>
  <c r="U46" i="21"/>
  <c r="F76" i="15"/>
  <c r="O76" i="15"/>
  <c r="M76" i="15"/>
  <c r="I76" i="15"/>
  <c r="N76" i="15"/>
  <c r="L76" i="15"/>
  <c r="H76" i="15"/>
  <c r="G76" i="15"/>
  <c r="U48" i="21"/>
  <c r="G78" i="15"/>
  <c r="M78" i="15"/>
  <c r="O78" i="15"/>
  <c r="L78" i="15"/>
  <c r="N78" i="15"/>
  <c r="I78" i="15"/>
  <c r="H78" i="15"/>
  <c r="F78" i="15"/>
  <c r="U71" i="21"/>
  <c r="N101" i="15"/>
  <c r="H101" i="15"/>
  <c r="L101" i="15"/>
  <c r="I101" i="15"/>
  <c r="M101" i="15"/>
  <c r="G101" i="15"/>
  <c r="O101" i="15"/>
  <c r="F101" i="15"/>
  <c r="U27" i="21"/>
  <c r="O57" i="15"/>
  <c r="T23" i="18" s="1"/>
  <c r="L57" i="15"/>
  <c r="F57" i="15"/>
  <c r="M57" i="15"/>
  <c r="N23" i="18" s="1"/>
  <c r="G57" i="15"/>
  <c r="M23" i="18" s="1"/>
  <c r="I57" i="15"/>
  <c r="S23" i="18" s="1"/>
  <c r="N57" i="15"/>
  <c r="Q23" i="18" s="1"/>
  <c r="H57" i="15"/>
  <c r="P23" i="18" s="1"/>
  <c r="G23" i="20"/>
  <c r="G23" i="18"/>
  <c r="N89" i="15"/>
  <c r="H89" i="15"/>
  <c r="G89" i="15"/>
  <c r="U59" i="21"/>
  <c r="O89" i="15"/>
  <c r="L89" i="15"/>
  <c r="F89" i="15"/>
  <c r="I89" i="15"/>
  <c r="M89" i="15"/>
  <c r="U26" i="21"/>
  <c r="G56" i="15"/>
  <c r="M22" i="18" s="1"/>
  <c r="F56" i="15"/>
  <c r="L56" i="15"/>
  <c r="M56" i="15"/>
  <c r="N22" i="18" s="1"/>
  <c r="H56" i="15"/>
  <c r="P22" i="18" s="1"/>
  <c r="N56" i="15"/>
  <c r="Q22" i="18" s="1"/>
  <c r="I56" i="15"/>
  <c r="S22" i="18" s="1"/>
  <c r="O56" i="15"/>
  <c r="T22" i="18" s="1"/>
  <c r="G22" i="18"/>
  <c r="G22" i="20"/>
  <c r="O88" i="15"/>
  <c r="H88" i="15"/>
  <c r="N88" i="15"/>
  <c r="I88" i="15"/>
  <c r="L88" i="15"/>
  <c r="M88" i="15"/>
  <c r="U58" i="21"/>
  <c r="G88" i="15"/>
  <c r="F88" i="15"/>
  <c r="N99" i="15"/>
  <c r="G99" i="15"/>
  <c r="L99" i="15"/>
  <c r="H99" i="15"/>
  <c r="O99" i="15"/>
  <c r="F99" i="15"/>
  <c r="M99" i="15"/>
  <c r="I99" i="15"/>
  <c r="U69" i="21"/>
  <c r="U52" i="21"/>
  <c r="G82" i="15"/>
  <c r="O82" i="15"/>
  <c r="M82" i="15"/>
  <c r="H82" i="15"/>
  <c r="F82" i="15"/>
  <c r="I82" i="15"/>
  <c r="N82" i="15"/>
  <c r="L82" i="15"/>
  <c r="U35" i="21"/>
  <c r="H65" i="15"/>
  <c r="P31" i="18" s="1"/>
  <c r="G65" i="15"/>
  <c r="M31" i="18" s="1"/>
  <c r="N65" i="15"/>
  <c r="Q31" i="18" s="1"/>
  <c r="I65" i="15"/>
  <c r="S31" i="18" s="1"/>
  <c r="O65" i="15"/>
  <c r="T31" i="18" s="1"/>
  <c r="F65" i="15"/>
  <c r="M65" i="15"/>
  <c r="N31" i="18" s="1"/>
  <c r="L65" i="15"/>
  <c r="G31" i="20"/>
  <c r="G31" i="18"/>
  <c r="N86" i="15"/>
  <c r="F86" i="15"/>
  <c r="H86" i="15"/>
  <c r="L86" i="15"/>
  <c r="M86" i="15"/>
  <c r="O86" i="15"/>
  <c r="G86" i="15"/>
  <c r="I86" i="15"/>
  <c r="U56" i="21"/>
  <c r="U24" i="21"/>
  <c r="G54" i="15"/>
  <c r="M20" i="18" s="1"/>
  <c r="M54" i="15"/>
  <c r="N20" i="18" s="1"/>
  <c r="O54" i="15"/>
  <c r="T20" i="18" s="1"/>
  <c r="L54" i="15"/>
  <c r="F54" i="15"/>
  <c r="N54" i="15"/>
  <c r="Q20" i="18" s="1"/>
  <c r="I54" i="15"/>
  <c r="S20" i="18" s="1"/>
  <c r="H54" i="15"/>
  <c r="P20" i="18" s="1"/>
  <c r="G20" i="20"/>
  <c r="G20" i="18"/>
  <c r="U54" i="21"/>
  <c r="F84" i="15"/>
  <c r="O84" i="15"/>
  <c r="M84" i="15"/>
  <c r="I84" i="15"/>
  <c r="N84" i="15"/>
  <c r="L84" i="15"/>
  <c r="H84" i="15"/>
  <c r="G84" i="15"/>
  <c r="U64" i="21"/>
  <c r="N94" i="15"/>
  <c r="L94" i="15"/>
  <c r="G94" i="15"/>
  <c r="I94" i="15"/>
  <c r="O94" i="15"/>
  <c r="F94" i="15"/>
  <c r="H94" i="15"/>
  <c r="M94" i="15"/>
  <c r="U68" i="21"/>
  <c r="L98" i="15"/>
  <c r="N98" i="15"/>
  <c r="G98" i="15"/>
  <c r="I98" i="15"/>
  <c r="M98" i="15"/>
  <c r="F98" i="15"/>
  <c r="H98" i="15"/>
  <c r="O98" i="15"/>
  <c r="U28" i="21"/>
  <c r="G58" i="15"/>
  <c r="M24" i="18" s="1"/>
  <c r="O58" i="15"/>
  <c r="T24" i="18" s="1"/>
  <c r="M58" i="15"/>
  <c r="N24" i="18" s="1"/>
  <c r="H58" i="15"/>
  <c r="P24" i="18" s="1"/>
  <c r="N58" i="15"/>
  <c r="Q24" i="18" s="1"/>
  <c r="F58" i="15"/>
  <c r="I58" i="15"/>
  <c r="S24" i="18" s="1"/>
  <c r="L58" i="15"/>
  <c r="G24" i="20"/>
  <c r="G24" i="18"/>
  <c r="N70" i="15"/>
  <c r="H70" i="15"/>
  <c r="F70" i="15"/>
  <c r="I70" i="15"/>
  <c r="U40" i="21"/>
  <c r="M70" i="15"/>
  <c r="L70" i="15"/>
  <c r="G70" i="15"/>
  <c r="O70" i="15"/>
  <c r="U31" i="21"/>
  <c r="O61" i="15"/>
  <c r="T27" i="18" s="1"/>
  <c r="L61" i="15"/>
  <c r="M61" i="15"/>
  <c r="N27" i="18" s="1"/>
  <c r="F61" i="15"/>
  <c r="G61" i="15"/>
  <c r="M27" i="18" s="1"/>
  <c r="I61" i="15"/>
  <c r="S27" i="18" s="1"/>
  <c r="H61" i="15"/>
  <c r="P27" i="18" s="1"/>
  <c r="N61" i="15"/>
  <c r="Q27" i="18" s="1"/>
  <c r="G27" i="20"/>
  <c r="G27" i="18"/>
  <c r="P181" i="18"/>
  <c r="D802" i="15"/>
  <c r="C794" i="15" s="1"/>
  <c r="C797" i="15" s="1"/>
  <c r="S145" i="20"/>
  <c r="T145" i="20" s="1"/>
  <c r="S181" i="18"/>
  <c r="M181" i="18"/>
  <c r="U2" i="20"/>
  <c r="S71" i="20" l="1"/>
  <c r="R134" i="18"/>
  <c r="R63" i="18"/>
  <c r="P154" i="20"/>
  <c r="Q154" i="20" s="1"/>
  <c r="U58" i="18"/>
  <c r="R41" i="18"/>
  <c r="U37" i="18"/>
  <c r="R30" i="18"/>
  <c r="P146" i="20"/>
  <c r="Q146" i="20" s="1"/>
  <c r="U60" i="18"/>
  <c r="R46" i="18"/>
  <c r="P165" i="20"/>
  <c r="Q165" i="20" s="1"/>
  <c r="P75" i="20"/>
  <c r="Q75" i="20" s="1"/>
  <c r="R82" i="18"/>
  <c r="P59" i="20"/>
  <c r="Q59" i="20" s="1"/>
  <c r="S146" i="20"/>
  <c r="T146" i="20" s="1"/>
  <c r="R45" i="18"/>
  <c r="R60" i="18"/>
  <c r="P38" i="20"/>
  <c r="Q38" i="20" s="1"/>
  <c r="R102" i="18"/>
  <c r="P41" i="20"/>
  <c r="Q41" i="20" s="1"/>
  <c r="R59" i="18"/>
  <c r="P63" i="20"/>
  <c r="Q63" i="20" s="1"/>
  <c r="R196" i="18"/>
  <c r="U95" i="18"/>
  <c r="R133" i="18"/>
  <c r="P101" i="20"/>
  <c r="S101" i="20"/>
  <c r="U29" i="18"/>
  <c r="S135" i="20"/>
  <c r="T135" i="20" s="1"/>
  <c r="S75" i="20"/>
  <c r="T75" i="20" s="1"/>
  <c r="S117" i="20"/>
  <c r="T117" i="20" s="1"/>
  <c r="U183" i="18"/>
  <c r="U86" i="18"/>
  <c r="U145" i="18"/>
  <c r="S46" i="20"/>
  <c r="T46" i="20" s="1"/>
  <c r="S155" i="20"/>
  <c r="T155" i="20" s="1"/>
  <c r="U85" i="18"/>
  <c r="U101" i="18"/>
  <c r="U84" i="18"/>
  <c r="S172" i="20"/>
  <c r="U155" i="18"/>
  <c r="U144" i="18"/>
  <c r="U109" i="18"/>
  <c r="S83" i="20"/>
  <c r="T83" i="20" s="1"/>
  <c r="S171" i="20"/>
  <c r="U50" i="18"/>
  <c r="U72" i="18"/>
  <c r="S58" i="20"/>
  <c r="T58" i="20" s="1"/>
  <c r="S153" i="20"/>
  <c r="T153" i="20" s="1"/>
  <c r="S115" i="20"/>
  <c r="T115" i="20" s="1"/>
  <c r="U103" i="18"/>
  <c r="U22" i="18"/>
  <c r="S87" i="20"/>
  <c r="T87" i="20" s="1"/>
  <c r="S18" i="20"/>
  <c r="R20" i="18"/>
  <c r="P82" i="20"/>
  <c r="Q82" i="20" s="1"/>
  <c r="P71" i="20"/>
  <c r="R138" i="18"/>
  <c r="P175" i="20"/>
  <c r="Q175" i="20" s="1"/>
  <c r="P51" i="20"/>
  <c r="Q51" i="20" s="1"/>
  <c r="R137" i="18"/>
  <c r="R29" i="18"/>
  <c r="R52" i="18"/>
  <c r="R140" i="18"/>
  <c r="P74" i="20"/>
  <c r="Q74" i="20" s="1"/>
  <c r="P10" i="20"/>
  <c r="Q10" i="20" s="1"/>
  <c r="P136" i="20"/>
  <c r="Q136" i="20" s="1"/>
  <c r="P102" i="20"/>
  <c r="Q102" i="20" s="1"/>
  <c r="R114" i="18"/>
  <c r="R154" i="18"/>
  <c r="R123" i="18"/>
  <c r="R24" i="18"/>
  <c r="R150" i="18"/>
  <c r="R94" i="18"/>
  <c r="R18" i="18"/>
  <c r="R74" i="18"/>
  <c r="R81" i="18"/>
  <c r="R25" i="18"/>
  <c r="R115" i="18"/>
  <c r="R51" i="18"/>
  <c r="P169" i="20"/>
  <c r="Q169" i="20" s="1"/>
  <c r="P128" i="20"/>
  <c r="Q128" i="20" s="1"/>
  <c r="P50" i="20"/>
  <c r="Q50" i="20" s="1"/>
  <c r="P83" i="20"/>
  <c r="Q83" i="20" s="1"/>
  <c r="P29" i="20"/>
  <c r="Q29" i="20" s="1"/>
  <c r="P131" i="20"/>
  <c r="Q131" i="20" s="1"/>
  <c r="P94" i="20"/>
  <c r="Q94" i="20" s="1"/>
  <c r="P46" i="20"/>
  <c r="Q46" i="20" s="1"/>
  <c r="P47" i="20"/>
  <c r="Q47" i="20" s="1"/>
  <c r="P176" i="20"/>
  <c r="Q176" i="20" s="1"/>
  <c r="P147" i="20"/>
  <c r="Q147" i="20" s="1"/>
  <c r="P149" i="20"/>
  <c r="Q149" i="20" s="1"/>
  <c r="P133" i="20"/>
  <c r="Q133" i="20" s="1"/>
  <c r="R195" i="18"/>
  <c r="R135" i="18"/>
  <c r="R121" i="18"/>
  <c r="P57" i="20"/>
  <c r="Q57" i="20" s="1"/>
  <c r="R117" i="18"/>
  <c r="R132" i="18"/>
  <c r="R48" i="18"/>
  <c r="R35" i="18"/>
  <c r="P26" i="20"/>
  <c r="Q26" i="20" s="1"/>
  <c r="R116" i="18"/>
  <c r="R61" i="18"/>
  <c r="R110" i="18"/>
  <c r="R26" i="18"/>
  <c r="R33" i="18"/>
  <c r="R130" i="18"/>
  <c r="R101" i="18"/>
  <c r="P125" i="20"/>
  <c r="Q125" i="20" s="1"/>
  <c r="P172" i="20"/>
  <c r="Q172" i="20" s="1"/>
  <c r="P134" i="20"/>
  <c r="Q134" i="20" s="1"/>
  <c r="P80" i="20"/>
  <c r="P19" i="20"/>
  <c r="Q19" i="20" s="1"/>
  <c r="P115" i="20"/>
  <c r="Q115" i="20" s="1"/>
  <c r="P95" i="20"/>
  <c r="Q95" i="20" s="1"/>
  <c r="P116" i="20"/>
  <c r="Q116" i="20" s="1"/>
  <c r="P140" i="20"/>
  <c r="Q140" i="20" s="1"/>
  <c r="P72" i="20"/>
  <c r="Q72" i="20" s="1"/>
  <c r="P21" i="20"/>
  <c r="Q21" i="20" s="1"/>
  <c r="P177" i="20"/>
  <c r="Q177" i="20" s="1"/>
  <c r="P164" i="20"/>
  <c r="Q164" i="20" s="1"/>
  <c r="R192" i="18"/>
  <c r="P20" i="20"/>
  <c r="Q20" i="20" s="1"/>
  <c r="R183" i="18"/>
  <c r="R103" i="18"/>
  <c r="R32" i="18"/>
  <c r="R31" i="18"/>
  <c r="R27" i="18"/>
  <c r="R22" i="18"/>
  <c r="R111" i="18"/>
  <c r="R76" i="18"/>
  <c r="R86" i="18"/>
  <c r="R28" i="18"/>
  <c r="R85" i="18"/>
  <c r="R71" i="18"/>
  <c r="R148" i="18"/>
  <c r="R83" i="18"/>
  <c r="P85" i="20"/>
  <c r="Q85" i="20" s="1"/>
  <c r="P170" i="20"/>
  <c r="Q170" i="20" s="1"/>
  <c r="P171" i="20"/>
  <c r="Q171" i="20" s="1"/>
  <c r="P144" i="20"/>
  <c r="P117" i="20"/>
  <c r="Q117" i="20" s="1"/>
  <c r="P76" i="20"/>
  <c r="Q76" i="20" s="1"/>
  <c r="P37" i="20"/>
  <c r="Q37" i="20" s="1"/>
  <c r="P135" i="20"/>
  <c r="Q135" i="20" s="1"/>
  <c r="P84" i="20"/>
  <c r="Q84" i="20" s="1"/>
  <c r="P123" i="20"/>
  <c r="Q123" i="20" s="1"/>
  <c r="P167" i="20"/>
  <c r="Q167" i="20" s="1"/>
  <c r="R155" i="18"/>
  <c r="P40" i="20"/>
  <c r="Q40" i="20" s="1"/>
  <c r="P111" i="20"/>
  <c r="Q111" i="20" s="1"/>
  <c r="P32" i="20"/>
  <c r="Q32" i="20" s="1"/>
  <c r="R75" i="18"/>
  <c r="R122" i="18"/>
  <c r="R87" i="18"/>
  <c r="R91" i="18"/>
  <c r="R139" i="18"/>
  <c r="R93" i="18"/>
  <c r="R113" i="18"/>
  <c r="R84" i="18"/>
  <c r="R112" i="18"/>
  <c r="R145" i="18"/>
  <c r="P132" i="20"/>
  <c r="Q132" i="20" s="1"/>
  <c r="R127" i="18"/>
  <c r="P52" i="20"/>
  <c r="Q52" i="20" s="1"/>
  <c r="P60" i="20"/>
  <c r="Q60" i="20" s="1"/>
  <c r="P103" i="20"/>
  <c r="Q103" i="20" s="1"/>
  <c r="P86" i="20"/>
  <c r="Q86" i="20" s="1"/>
  <c r="P112" i="20"/>
  <c r="Q112" i="20" s="1"/>
  <c r="P35" i="20"/>
  <c r="Q35" i="20" s="1"/>
  <c r="P61" i="20"/>
  <c r="Q61" i="20" s="1"/>
  <c r="P48" i="20"/>
  <c r="Q48" i="20" s="1"/>
  <c r="P93" i="20"/>
  <c r="Q93" i="20" s="1"/>
  <c r="P166" i="20"/>
  <c r="Q166" i="20" s="1"/>
  <c r="P58" i="20"/>
  <c r="Q58" i="20" s="1"/>
  <c r="R191" i="18"/>
  <c r="Q7" i="18"/>
  <c r="R57" i="18"/>
  <c r="R73" i="18"/>
  <c r="R39" i="18"/>
  <c r="R153" i="18"/>
  <c r="R131" i="18"/>
  <c r="R21" i="18"/>
  <c r="R50" i="18"/>
  <c r="R147" i="18"/>
  <c r="R125" i="18"/>
  <c r="R80" i="18"/>
  <c r="R124" i="18"/>
  <c r="R92" i="18"/>
  <c r="P122" i="20"/>
  <c r="Q122" i="20" s="1"/>
  <c r="R144" i="18"/>
  <c r="P163" i="20"/>
  <c r="P137" i="20"/>
  <c r="Q137" i="20" s="1"/>
  <c r="P178" i="20"/>
  <c r="Q178" i="20" s="1"/>
  <c r="P91" i="20"/>
  <c r="P121" i="20"/>
  <c r="P109" i="20"/>
  <c r="P126" i="20"/>
  <c r="Q126" i="20" s="1"/>
  <c r="P110" i="20"/>
  <c r="Q110" i="20" s="1"/>
  <c r="P87" i="20"/>
  <c r="Q87" i="20" s="1"/>
  <c r="P45" i="20"/>
  <c r="P150" i="20"/>
  <c r="Q150" i="20" s="1"/>
  <c r="R188" i="18"/>
  <c r="R189" i="18" s="1"/>
  <c r="P18" i="20"/>
  <c r="P145" i="20"/>
  <c r="Q145" i="20" s="1"/>
  <c r="P39" i="20"/>
  <c r="Q39" i="20" s="1"/>
  <c r="P155" i="20"/>
  <c r="Q155" i="20" s="1"/>
  <c r="R19" i="18"/>
  <c r="R136" i="18"/>
  <c r="R109" i="18"/>
  <c r="R23" i="18"/>
  <c r="R126" i="18"/>
  <c r="R146" i="18"/>
  <c r="P62" i="20"/>
  <c r="Q62" i="20" s="1"/>
  <c r="P168" i="20"/>
  <c r="Q168" i="20" s="1"/>
  <c r="P129" i="20"/>
  <c r="Q129" i="20" s="1"/>
  <c r="P56" i="20"/>
  <c r="R37" i="18"/>
  <c r="R62" i="18"/>
  <c r="R56" i="18"/>
  <c r="P127" i="20"/>
  <c r="Q127" i="20" s="1"/>
  <c r="R47" i="18"/>
  <c r="R72" i="18"/>
  <c r="R129" i="18"/>
  <c r="R58" i="18"/>
  <c r="R128" i="18"/>
  <c r="R149" i="18"/>
  <c r="R95" i="18"/>
  <c r="R38" i="18"/>
  <c r="P73" i="20"/>
  <c r="Q73" i="20" s="1"/>
  <c r="P139" i="20"/>
  <c r="Q139" i="20" s="1"/>
  <c r="P174" i="20"/>
  <c r="Q174" i="20" s="1"/>
  <c r="P92" i="20"/>
  <c r="Q92" i="20" s="1"/>
  <c r="P138" i="20"/>
  <c r="Q138" i="20" s="1"/>
  <c r="P124" i="20"/>
  <c r="Q124" i="20" s="1"/>
  <c r="P81" i="20"/>
  <c r="Q81" i="20" s="1"/>
  <c r="P153" i="20"/>
  <c r="Q153" i="20" s="1"/>
  <c r="P173" i="20"/>
  <c r="Q173" i="20" s="1"/>
  <c r="P148" i="20"/>
  <c r="Q148" i="20" s="1"/>
  <c r="P113" i="20"/>
  <c r="Q113" i="20" s="1"/>
  <c r="P130" i="20"/>
  <c r="Q130" i="20" s="1"/>
  <c r="P114" i="20"/>
  <c r="Q114" i="20" s="1"/>
  <c r="P22" i="20"/>
  <c r="Q22" i="20" s="1"/>
  <c r="O101" i="18"/>
  <c r="O112" i="18"/>
  <c r="O121" i="18"/>
  <c r="O93" i="18"/>
  <c r="M35" i="20"/>
  <c r="N35" i="20" s="1"/>
  <c r="M167" i="20"/>
  <c r="N167" i="20" s="1"/>
  <c r="M154" i="20"/>
  <c r="N154" i="20" s="1"/>
  <c r="O80" i="18"/>
  <c r="M128" i="20"/>
  <c r="N128" i="20" s="1"/>
  <c r="O145" i="18"/>
  <c r="O63" i="18"/>
  <c r="O26" i="18"/>
  <c r="O31" i="18"/>
  <c r="O125" i="18"/>
  <c r="O146" i="18"/>
  <c r="O74" i="18"/>
  <c r="O140" i="18"/>
  <c r="O111" i="18"/>
  <c r="O136" i="18"/>
  <c r="O62" i="18"/>
  <c r="M85" i="20"/>
  <c r="N85" i="20" s="1"/>
  <c r="M121" i="20"/>
  <c r="M148" i="20"/>
  <c r="N148" i="20" s="1"/>
  <c r="M145" i="20"/>
  <c r="N145" i="20" s="1"/>
  <c r="M51" i="20"/>
  <c r="N51" i="20" s="1"/>
  <c r="M86" i="20"/>
  <c r="N86" i="20" s="1"/>
  <c r="M116" i="20"/>
  <c r="N116" i="20" s="1"/>
  <c r="M130" i="20"/>
  <c r="N130" i="20" s="1"/>
  <c r="M91" i="20"/>
  <c r="M139" i="20"/>
  <c r="N139" i="20" s="1"/>
  <c r="M115" i="20"/>
  <c r="N115" i="20" s="1"/>
  <c r="O192" i="18"/>
  <c r="M18" i="20"/>
  <c r="O183" i="18"/>
  <c r="O51" i="18"/>
  <c r="O28" i="18"/>
  <c r="O115" i="18"/>
  <c r="O72" i="18"/>
  <c r="O24" i="18"/>
  <c r="O110" i="18"/>
  <c r="O139" i="18"/>
  <c r="O87" i="18"/>
  <c r="M82" i="20"/>
  <c r="N82" i="20" s="1"/>
  <c r="M60" i="20"/>
  <c r="N60" i="20" s="1"/>
  <c r="M174" i="20"/>
  <c r="N174" i="20" s="1"/>
  <c r="M135" i="20"/>
  <c r="N135" i="20" s="1"/>
  <c r="M133" i="20"/>
  <c r="N133" i="20" s="1"/>
  <c r="M134" i="20"/>
  <c r="N134" i="20" s="1"/>
  <c r="M111" i="20"/>
  <c r="N111" i="20" s="1"/>
  <c r="O127" i="18"/>
  <c r="O71" i="18"/>
  <c r="O27" i="18"/>
  <c r="O18" i="18"/>
  <c r="O50" i="18"/>
  <c r="O116" i="18"/>
  <c r="O52" i="18"/>
  <c r="O59" i="18"/>
  <c r="O122" i="18"/>
  <c r="M131" i="20"/>
  <c r="N131" i="20" s="1"/>
  <c r="O47" i="18"/>
  <c r="O30" i="18"/>
  <c r="O114" i="18"/>
  <c r="M81" i="20"/>
  <c r="N81" i="20" s="1"/>
  <c r="M52" i="20"/>
  <c r="N52" i="20" s="1"/>
  <c r="M169" i="20"/>
  <c r="N169" i="20" s="1"/>
  <c r="M76" i="20"/>
  <c r="N76" i="20" s="1"/>
  <c r="M165" i="20"/>
  <c r="N165" i="20" s="1"/>
  <c r="M125" i="20"/>
  <c r="N125" i="20" s="1"/>
  <c r="M164" i="20"/>
  <c r="N164" i="20" s="1"/>
  <c r="M175" i="20"/>
  <c r="N175" i="20" s="1"/>
  <c r="M170" i="20"/>
  <c r="N170" i="20" s="1"/>
  <c r="M46" i="20"/>
  <c r="N46" i="20" s="1"/>
  <c r="M163" i="20"/>
  <c r="N7" i="18"/>
  <c r="M27" i="20"/>
  <c r="N27" i="20" s="1"/>
  <c r="M24" i="20"/>
  <c r="N24" i="20" s="1"/>
  <c r="M22" i="20"/>
  <c r="N22" i="20" s="1"/>
  <c r="M23" i="20"/>
  <c r="N23" i="20" s="1"/>
  <c r="O135" i="18"/>
  <c r="O85" i="18"/>
  <c r="O39" i="18"/>
  <c r="M114" i="20"/>
  <c r="N114" i="20" s="1"/>
  <c r="O150" i="18"/>
  <c r="M109" i="20"/>
  <c r="M83" i="20"/>
  <c r="N83" i="20" s="1"/>
  <c r="M80" i="20"/>
  <c r="M149" i="20"/>
  <c r="N149" i="20" s="1"/>
  <c r="M168" i="20"/>
  <c r="N168" i="20" s="1"/>
  <c r="M155" i="20"/>
  <c r="N155" i="20" s="1"/>
  <c r="O57" i="18"/>
  <c r="O20" i="18"/>
  <c r="O148" i="18"/>
  <c r="O60" i="18"/>
  <c r="O45" i="18"/>
  <c r="O102" i="18"/>
  <c r="M171" i="20"/>
  <c r="N171" i="20" s="1"/>
  <c r="O82" i="18"/>
  <c r="O109" i="18"/>
  <c r="O138" i="18"/>
  <c r="M173" i="20"/>
  <c r="N173" i="20" s="1"/>
  <c r="O76" i="18"/>
  <c r="O73" i="18"/>
  <c r="O131" i="18"/>
  <c r="M137" i="20"/>
  <c r="N137" i="20" s="1"/>
  <c r="M138" i="20"/>
  <c r="N138" i="20" s="1"/>
  <c r="M112" i="20"/>
  <c r="N112" i="20" s="1"/>
  <c r="M110" i="20"/>
  <c r="N110" i="20" s="1"/>
  <c r="M122" i="20"/>
  <c r="N122" i="20" s="1"/>
  <c r="M166" i="20"/>
  <c r="N166" i="20" s="1"/>
  <c r="M38" i="20"/>
  <c r="N38" i="20" s="1"/>
  <c r="M57" i="20"/>
  <c r="N57" i="20" s="1"/>
  <c r="M41" i="20"/>
  <c r="N41" i="20" s="1"/>
  <c r="M101" i="20"/>
  <c r="M37" i="20"/>
  <c r="N37" i="20" s="1"/>
  <c r="O196" i="18"/>
  <c r="O19" i="18"/>
  <c r="O38" i="18"/>
  <c r="O41" i="18"/>
  <c r="M48" i="20"/>
  <c r="N48" i="20" s="1"/>
  <c r="M10" i="20"/>
  <c r="N10" i="20" s="1"/>
  <c r="O46" i="18"/>
  <c r="O23" i="18"/>
  <c r="O133" i="18"/>
  <c r="M58" i="20"/>
  <c r="N58" i="20" s="1"/>
  <c r="O134" i="18"/>
  <c r="O144" i="18"/>
  <c r="O83" i="18"/>
  <c r="O137" i="18"/>
  <c r="O25" i="18"/>
  <c r="M39" i="20"/>
  <c r="N39" i="20" s="1"/>
  <c r="O48" i="18"/>
  <c r="O128" i="18"/>
  <c r="O21" i="18"/>
  <c r="M21" i="20"/>
  <c r="N21" i="20" s="1"/>
  <c r="M153" i="20"/>
  <c r="N153" i="20" s="1"/>
  <c r="M94" i="20"/>
  <c r="N94" i="20" s="1"/>
  <c r="M129" i="20"/>
  <c r="N129" i="20" s="1"/>
  <c r="M117" i="20"/>
  <c r="N117" i="20" s="1"/>
  <c r="M45" i="20"/>
  <c r="M136" i="20"/>
  <c r="N136" i="20" s="1"/>
  <c r="M144" i="20"/>
  <c r="M92" i="20"/>
  <c r="N92" i="20" s="1"/>
  <c r="M147" i="20"/>
  <c r="N147" i="20" s="1"/>
  <c r="M56" i="20"/>
  <c r="O195" i="18"/>
  <c r="O191" i="18"/>
  <c r="O86" i="18"/>
  <c r="O149" i="18"/>
  <c r="O130" i="18"/>
  <c r="O117" i="18"/>
  <c r="M150" i="20"/>
  <c r="N150" i="20" s="1"/>
  <c r="M73" i="20"/>
  <c r="N73" i="20" s="1"/>
  <c r="M30" i="20"/>
  <c r="N30" i="20" s="1"/>
  <c r="O75" i="18"/>
  <c r="O56" i="18"/>
  <c r="M71" i="20"/>
  <c r="O132" i="18"/>
  <c r="O113" i="18"/>
  <c r="O35" i="18"/>
  <c r="O32" i="18"/>
  <c r="O92" i="18"/>
  <c r="O33" i="18"/>
  <c r="M50" i="20"/>
  <c r="N50" i="20" s="1"/>
  <c r="O22" i="18"/>
  <c r="O147" i="18"/>
  <c r="O29" i="18"/>
  <c r="M176" i="20"/>
  <c r="N176" i="20" s="1"/>
  <c r="M103" i="20"/>
  <c r="N103" i="20" s="1"/>
  <c r="M95" i="20"/>
  <c r="N95" i="20" s="1"/>
  <c r="M124" i="20"/>
  <c r="N124" i="20" s="1"/>
  <c r="M127" i="20"/>
  <c r="N127" i="20" s="1"/>
  <c r="M84" i="20"/>
  <c r="N84" i="20" s="1"/>
  <c r="M177" i="20"/>
  <c r="N177" i="20" s="1"/>
  <c r="M132" i="20"/>
  <c r="N132" i="20" s="1"/>
  <c r="M87" i="20"/>
  <c r="N87" i="20" s="1"/>
  <c r="M59" i="20"/>
  <c r="N59" i="20" s="1"/>
  <c r="M140" i="20"/>
  <c r="N140" i="20" s="1"/>
  <c r="M40" i="20"/>
  <c r="N40" i="20" s="1"/>
  <c r="O188" i="18"/>
  <c r="O91" i="18"/>
  <c r="M74" i="20"/>
  <c r="N74" i="20" s="1"/>
  <c r="O154" i="18"/>
  <c r="M178" i="20"/>
  <c r="N178" i="20" s="1"/>
  <c r="M62" i="20"/>
  <c r="N62" i="20" s="1"/>
  <c r="M113" i="20"/>
  <c r="N113" i="20" s="1"/>
  <c r="M61" i="20"/>
  <c r="N61" i="20" s="1"/>
  <c r="O187" i="18"/>
  <c r="O189" i="18" s="1"/>
  <c r="O153" i="18"/>
  <c r="O94" i="18"/>
  <c r="O95" i="18"/>
  <c r="O126" i="18"/>
  <c r="O81" i="18"/>
  <c r="O123" i="18"/>
  <c r="O84" i="18"/>
  <c r="O129" i="18"/>
  <c r="O58" i="18"/>
  <c r="O124" i="18"/>
  <c r="O61" i="18"/>
  <c r="O103" i="18"/>
  <c r="O37" i="18"/>
  <c r="M126" i="20"/>
  <c r="N126" i="20" s="1"/>
  <c r="M146" i="20"/>
  <c r="N146" i="20" s="1"/>
  <c r="M93" i="20"/>
  <c r="N93" i="20" s="1"/>
  <c r="M63" i="20"/>
  <c r="N63" i="20" s="1"/>
  <c r="M172" i="20"/>
  <c r="N172" i="20" s="1"/>
  <c r="M75" i="20"/>
  <c r="N75" i="20" s="1"/>
  <c r="M47" i="20"/>
  <c r="N47" i="20" s="1"/>
  <c r="M102" i="20"/>
  <c r="N102" i="20" s="1"/>
  <c r="M72" i="20"/>
  <c r="N72" i="20" s="1"/>
  <c r="M123" i="20"/>
  <c r="N123" i="20" s="1"/>
  <c r="M32" i="20"/>
  <c r="N32" i="20" s="1"/>
  <c r="M25" i="20"/>
  <c r="N25" i="20" s="1"/>
  <c r="U62" i="18"/>
  <c r="U113" i="18"/>
  <c r="U31" i="18"/>
  <c r="S112" i="20"/>
  <c r="T112" i="20" s="1"/>
  <c r="T7" i="18"/>
  <c r="U92" i="18"/>
  <c r="S60" i="20"/>
  <c r="T60" i="20" s="1"/>
  <c r="S94" i="20"/>
  <c r="T94" i="20" s="1"/>
  <c r="S37" i="20"/>
  <c r="T37" i="20" s="1"/>
  <c r="S148" i="20"/>
  <c r="T148" i="20" s="1"/>
  <c r="S32" i="20"/>
  <c r="T32" i="20" s="1"/>
  <c r="P27" i="20"/>
  <c r="Q27" i="20" s="1"/>
  <c r="P31" i="20"/>
  <c r="Q31" i="20" s="1"/>
  <c r="P25" i="20"/>
  <c r="Q25" i="20" s="1"/>
  <c r="S163" i="20"/>
  <c r="S173" i="20"/>
  <c r="S103" i="20"/>
  <c r="T103" i="20" s="1"/>
  <c r="P73" i="15"/>
  <c r="U131" i="18"/>
  <c r="U148" i="18"/>
  <c r="S72" i="20"/>
  <c r="T72" i="20" s="1"/>
  <c r="S138" i="20"/>
  <c r="T138" i="20" s="1"/>
  <c r="J52" i="15"/>
  <c r="M20" i="20"/>
  <c r="N20" i="20" s="1"/>
  <c r="P30" i="20"/>
  <c r="Q30" i="20" s="1"/>
  <c r="M28" i="20"/>
  <c r="N28" i="20" s="1"/>
  <c r="M19" i="20"/>
  <c r="N19" i="20" s="1"/>
  <c r="P24" i="20"/>
  <c r="Q24" i="20" s="1"/>
  <c r="M31" i="20"/>
  <c r="N31" i="20" s="1"/>
  <c r="P23" i="20"/>
  <c r="Q23" i="20" s="1"/>
  <c r="M26" i="20"/>
  <c r="N26" i="20" s="1"/>
  <c r="M29" i="20"/>
  <c r="N29" i="20" s="1"/>
  <c r="P28" i="20"/>
  <c r="Q28" i="20" s="1"/>
  <c r="P52" i="15"/>
  <c r="S111" i="20"/>
  <c r="T111" i="20" s="1"/>
  <c r="U127" i="18"/>
  <c r="U21" i="18"/>
  <c r="S57" i="20"/>
  <c r="T57" i="20" s="1"/>
  <c r="U46" i="18"/>
  <c r="U45" i="18"/>
  <c r="U112" i="18"/>
  <c r="U129" i="18"/>
  <c r="U110" i="18"/>
  <c r="U125" i="18"/>
  <c r="U82" i="18"/>
  <c r="U116" i="18"/>
  <c r="U134" i="18"/>
  <c r="U124" i="18"/>
  <c r="U132" i="18"/>
  <c r="U39" i="18"/>
  <c r="U122" i="18"/>
  <c r="U136" i="18"/>
  <c r="U133" i="18"/>
  <c r="U153" i="18"/>
  <c r="S140" i="20"/>
  <c r="T140" i="20" s="1"/>
  <c r="U25" i="18"/>
  <c r="U18" i="18"/>
  <c r="U111" i="18"/>
  <c r="S84" i="20"/>
  <c r="T84" i="20" s="1"/>
  <c r="S61" i="20"/>
  <c r="T61" i="20" s="1"/>
  <c r="S126" i="20"/>
  <c r="T126" i="20" s="1"/>
  <c r="S93" i="20"/>
  <c r="T93" i="20" s="1"/>
  <c r="S114" i="20"/>
  <c r="T114" i="20" s="1"/>
  <c r="S35" i="20"/>
  <c r="T35" i="20" s="1"/>
  <c r="U102" i="18"/>
  <c r="U74" i="18"/>
  <c r="U30" i="18"/>
  <c r="U115" i="18"/>
  <c r="S47" i="20"/>
  <c r="T47" i="20" s="1"/>
  <c r="S121" i="20"/>
  <c r="S167" i="20"/>
  <c r="S80" i="20"/>
  <c r="S21" i="20"/>
  <c r="T21" i="20" s="1"/>
  <c r="S38" i="20"/>
  <c r="T38" i="20" s="1"/>
  <c r="S125" i="20"/>
  <c r="T125" i="20" s="1"/>
  <c r="S168" i="20"/>
  <c r="S48" i="20"/>
  <c r="T48" i="20" s="1"/>
  <c r="S177" i="20"/>
  <c r="S73" i="20"/>
  <c r="T73" i="20" s="1"/>
  <c r="S139" i="20"/>
  <c r="T139" i="20" s="1"/>
  <c r="S50" i="20"/>
  <c r="T50" i="20" s="1"/>
  <c r="S174" i="20"/>
  <c r="S175" i="20"/>
  <c r="S136" i="20"/>
  <c r="T136" i="20" s="1"/>
  <c r="U188" i="18"/>
  <c r="U196" i="18"/>
  <c r="R52" i="15"/>
  <c r="V22" i="21" s="1"/>
  <c r="S24" i="20"/>
  <c r="T24" i="20" s="1"/>
  <c r="S22" i="20"/>
  <c r="T22" i="20" s="1"/>
  <c r="S26" i="20"/>
  <c r="T26" i="20" s="1"/>
  <c r="U83" i="18"/>
  <c r="U87" i="18"/>
  <c r="U52" i="18"/>
  <c r="U33" i="18"/>
  <c r="U121" i="18"/>
  <c r="U71" i="18"/>
  <c r="U154" i="18"/>
  <c r="U146" i="18"/>
  <c r="U20" i="18"/>
  <c r="S116" i="20"/>
  <c r="T116" i="20" s="1"/>
  <c r="U76" i="18"/>
  <c r="U38" i="18"/>
  <c r="U150" i="18"/>
  <c r="U24" i="18"/>
  <c r="S74" i="20"/>
  <c r="T74" i="20" s="1"/>
  <c r="U80" i="18"/>
  <c r="U41" i="18"/>
  <c r="U93" i="18"/>
  <c r="U28" i="18"/>
  <c r="S76" i="20"/>
  <c r="T76" i="20" s="1"/>
  <c r="U91" i="18"/>
  <c r="U56" i="18"/>
  <c r="U26" i="18"/>
  <c r="U123" i="18"/>
  <c r="S81" i="20"/>
  <c r="T81" i="20" s="1"/>
  <c r="S137" i="20"/>
  <c r="T137" i="20" s="1"/>
  <c r="S109" i="20"/>
  <c r="S39" i="20"/>
  <c r="T39" i="20" s="1"/>
  <c r="S154" i="20"/>
  <c r="T154" i="20" s="1"/>
  <c r="S124" i="20"/>
  <c r="T124" i="20" s="1"/>
  <c r="U135" i="18"/>
  <c r="U114" i="18"/>
  <c r="U57" i="18"/>
  <c r="U130" i="18"/>
  <c r="S164" i="20"/>
  <c r="S166" i="20"/>
  <c r="S41" i="20"/>
  <c r="T41" i="20" s="1"/>
  <c r="S82" i="20"/>
  <c r="T82" i="20" s="1"/>
  <c r="S59" i="20"/>
  <c r="T59" i="20" s="1"/>
  <c r="S130" i="20"/>
  <c r="T130" i="20" s="1"/>
  <c r="S144" i="20"/>
  <c r="S62" i="20"/>
  <c r="T62" i="20" s="1"/>
  <c r="S113" i="20"/>
  <c r="T113" i="20" s="1"/>
  <c r="S85" i="20"/>
  <c r="T85" i="20" s="1"/>
  <c r="S95" i="20"/>
  <c r="T95" i="20" s="1"/>
  <c r="S176" i="20"/>
  <c r="S110" i="20"/>
  <c r="T110" i="20" s="1"/>
  <c r="S123" i="20"/>
  <c r="T123" i="20" s="1"/>
  <c r="S30" i="20"/>
  <c r="T30" i="20" s="1"/>
  <c r="S165" i="20"/>
  <c r="U187" i="18"/>
  <c r="U195" i="18"/>
  <c r="S27" i="20"/>
  <c r="T27" i="20" s="1"/>
  <c r="S31" i="20"/>
  <c r="T31" i="20" s="1"/>
  <c r="S23" i="20"/>
  <c r="T23" i="20" s="1"/>
  <c r="S28" i="20"/>
  <c r="T28" i="20" s="1"/>
  <c r="S25" i="20"/>
  <c r="T25" i="20" s="1"/>
  <c r="U47" i="18"/>
  <c r="U117" i="18"/>
  <c r="U140" i="18"/>
  <c r="U75" i="18"/>
  <c r="U32" i="18"/>
  <c r="U19" i="18"/>
  <c r="U48" i="18"/>
  <c r="U128" i="18"/>
  <c r="U35" i="18"/>
  <c r="S133" i="20"/>
  <c r="T133" i="20" s="1"/>
  <c r="U23" i="18"/>
  <c r="U51" i="18"/>
  <c r="U137" i="18"/>
  <c r="U59" i="18"/>
  <c r="S178" i="20"/>
  <c r="U27" i="18"/>
  <c r="U81" i="18"/>
  <c r="U147" i="18"/>
  <c r="U63" i="18"/>
  <c r="S149" i="20"/>
  <c r="T149" i="20" s="1"/>
  <c r="U126" i="18"/>
  <c r="U94" i="18"/>
  <c r="U61" i="18"/>
  <c r="U139" i="18"/>
  <c r="S127" i="20"/>
  <c r="T127" i="20" s="1"/>
  <c r="S10" i="20"/>
  <c r="T10" i="20" s="1"/>
  <c r="S147" i="20"/>
  <c r="T147" i="20" s="1"/>
  <c r="S150" i="20"/>
  <c r="T150" i="20" s="1"/>
  <c r="S52" i="20"/>
  <c r="T52" i="20" s="1"/>
  <c r="S169" i="20"/>
  <c r="U149" i="18"/>
  <c r="U138" i="18"/>
  <c r="U73" i="18"/>
  <c r="S92" i="20"/>
  <c r="T92" i="20" s="1"/>
  <c r="S122" i="20"/>
  <c r="T122" i="20" s="1"/>
  <c r="S63" i="20"/>
  <c r="T63" i="20" s="1"/>
  <c r="S128" i="20"/>
  <c r="T128" i="20" s="1"/>
  <c r="S86" i="20"/>
  <c r="T86" i="20" s="1"/>
  <c r="S131" i="20"/>
  <c r="T131" i="20" s="1"/>
  <c r="S45" i="20"/>
  <c r="S170" i="20"/>
  <c r="S134" i="20"/>
  <c r="T134" i="20" s="1"/>
  <c r="S132" i="20"/>
  <c r="T132" i="20" s="1"/>
  <c r="S91" i="20"/>
  <c r="S29" i="20"/>
  <c r="T29" i="20" s="1"/>
  <c r="S51" i="20"/>
  <c r="T51" i="20" s="1"/>
  <c r="S129" i="20"/>
  <c r="T129" i="20" s="1"/>
  <c r="S102" i="20"/>
  <c r="T102" i="20" s="1"/>
  <c r="S56" i="20"/>
  <c r="S40" i="20"/>
  <c r="T40" i="20" s="1"/>
  <c r="U191" i="18"/>
  <c r="U193" i="18" s="1"/>
  <c r="S20" i="20"/>
  <c r="T20" i="20" s="1"/>
  <c r="S19" i="20"/>
  <c r="T19" i="20" s="1"/>
  <c r="J92" i="15"/>
  <c r="P75" i="15"/>
  <c r="J98" i="15"/>
  <c r="J99" i="15"/>
  <c r="P89" i="15"/>
  <c r="R97" i="15"/>
  <c r="V67" i="21" s="1"/>
  <c r="J83" i="15"/>
  <c r="J87" i="15"/>
  <c r="J72" i="15"/>
  <c r="J75" i="15"/>
  <c r="T33" i="18"/>
  <c r="T34" i="18" s="1"/>
  <c r="T42" i="18" s="1"/>
  <c r="T66" i="18" s="1"/>
  <c r="T6" i="18" s="1"/>
  <c r="J101" i="15"/>
  <c r="J95" i="15"/>
  <c r="P70" i="15"/>
  <c r="J96" i="15"/>
  <c r="R84" i="15"/>
  <c r="V54" i="21" s="1"/>
  <c r="P84" i="15"/>
  <c r="J20" i="18"/>
  <c r="V20" i="18" s="1"/>
  <c r="J54" i="15"/>
  <c r="J88" i="15"/>
  <c r="R88" i="15"/>
  <c r="V58" i="21" s="1"/>
  <c r="P88" i="15"/>
  <c r="J22" i="18"/>
  <c r="V22" i="18" s="1"/>
  <c r="J56" i="15"/>
  <c r="K23" i="18"/>
  <c r="P57" i="15"/>
  <c r="R57" i="15"/>
  <c r="V27" i="21" s="1"/>
  <c r="R101" i="15"/>
  <c r="V71" i="21" s="1"/>
  <c r="P101" i="15"/>
  <c r="J78" i="15"/>
  <c r="P78" i="15"/>
  <c r="R78" i="15"/>
  <c r="V48" i="21" s="1"/>
  <c r="J76" i="15"/>
  <c r="R64" i="15"/>
  <c r="V34" i="21" s="1"/>
  <c r="P64" i="15"/>
  <c r="K30" i="18"/>
  <c r="R93" i="15"/>
  <c r="V63" i="21" s="1"/>
  <c r="P93" i="15"/>
  <c r="J90" i="15"/>
  <c r="J100" i="15"/>
  <c r="R100" i="15"/>
  <c r="V70" i="21" s="1"/>
  <c r="P100" i="15"/>
  <c r="P87" i="15"/>
  <c r="R87" i="15"/>
  <c r="V57" i="21" s="1"/>
  <c r="P77" i="15"/>
  <c r="R77" i="15"/>
  <c r="V47" i="21" s="1"/>
  <c r="R67" i="15"/>
  <c r="V37" i="21" s="1"/>
  <c r="P67" i="15"/>
  <c r="K33" i="18"/>
  <c r="N33" i="18"/>
  <c r="N34" i="18" s="1"/>
  <c r="N42" i="18" s="1"/>
  <c r="N66" i="18" s="1"/>
  <c r="N6" i="18" s="1"/>
  <c r="J69" i="15"/>
  <c r="P69" i="15"/>
  <c r="R69" i="15"/>
  <c r="V39" i="21" s="1"/>
  <c r="R66" i="15"/>
  <c r="V36" i="21" s="1"/>
  <c r="P66" i="15"/>
  <c r="K32" i="18"/>
  <c r="J19" i="18"/>
  <c r="V19" i="18" s="1"/>
  <c r="J53" i="15"/>
  <c r="P61" i="15"/>
  <c r="R61" i="15"/>
  <c r="V31" i="21" s="1"/>
  <c r="K27" i="18"/>
  <c r="J70" i="15"/>
  <c r="J24" i="18"/>
  <c r="V24" i="18" s="1"/>
  <c r="J58" i="15"/>
  <c r="J84" i="15"/>
  <c r="R54" i="15"/>
  <c r="V24" i="21" s="1"/>
  <c r="P54" i="15"/>
  <c r="K20" i="18"/>
  <c r="J86" i="15"/>
  <c r="R65" i="15"/>
  <c r="V35" i="21" s="1"/>
  <c r="K31" i="18"/>
  <c r="P65" i="15"/>
  <c r="J82" i="15"/>
  <c r="P99" i="15"/>
  <c r="R99" i="15"/>
  <c r="V69" i="21" s="1"/>
  <c r="J89" i="15"/>
  <c r="P97" i="15"/>
  <c r="J60" i="15"/>
  <c r="J26" i="18"/>
  <c r="V26" i="18" s="1"/>
  <c r="K29" i="18"/>
  <c r="R63" i="15"/>
  <c r="V33" i="21" s="1"/>
  <c r="P63" i="15"/>
  <c r="R73" i="15"/>
  <c r="V43" i="21" s="1"/>
  <c r="J85" i="15"/>
  <c r="R85" i="15"/>
  <c r="V55" i="21" s="1"/>
  <c r="P85" i="15"/>
  <c r="P74" i="15"/>
  <c r="R74" i="15"/>
  <c r="V44" i="21" s="1"/>
  <c r="J74" i="15"/>
  <c r="J28" i="18"/>
  <c r="V28" i="18" s="1"/>
  <c r="J62" i="15"/>
  <c r="P33" i="18"/>
  <c r="R59" i="15"/>
  <c r="V29" i="21" s="1"/>
  <c r="K25" i="18"/>
  <c r="P59" i="15"/>
  <c r="Q33" i="18"/>
  <c r="Q34" i="18" s="1"/>
  <c r="Q42" i="18" s="1"/>
  <c r="Q66" i="18" s="1"/>
  <c r="Q159" i="18" s="1"/>
  <c r="R82" i="15"/>
  <c r="V52" i="21" s="1"/>
  <c r="P82" i="15"/>
  <c r="J64" i="15"/>
  <c r="J30" i="18"/>
  <c r="V30" i="18" s="1"/>
  <c r="R60" i="15"/>
  <c r="V30" i="21" s="1"/>
  <c r="K26" i="18"/>
  <c r="P60" i="15"/>
  <c r="R90" i="15"/>
  <c r="V60" i="21" s="1"/>
  <c r="P90" i="15"/>
  <c r="P80" i="15"/>
  <c r="R80" i="15"/>
  <c r="V50" i="21" s="1"/>
  <c r="P95" i="15"/>
  <c r="R95" i="15"/>
  <c r="V65" i="21" s="1"/>
  <c r="R68" i="15"/>
  <c r="V38" i="21" s="1"/>
  <c r="P68" i="15"/>
  <c r="J91" i="15"/>
  <c r="J81" i="15"/>
  <c r="R72" i="15"/>
  <c r="V42" i="21" s="1"/>
  <c r="P72" i="15"/>
  <c r="G33" i="18"/>
  <c r="G34" i="18" s="1"/>
  <c r="G34" i="20" s="1"/>
  <c r="G33" i="20"/>
  <c r="S33" i="18"/>
  <c r="S34" i="18" s="1"/>
  <c r="S42" i="18" s="1"/>
  <c r="S66" i="18" s="1"/>
  <c r="M33" i="18"/>
  <c r="J25" i="18"/>
  <c r="V25" i="18" s="1"/>
  <c r="J59" i="15"/>
  <c r="R79" i="15"/>
  <c r="V49" i="21" s="1"/>
  <c r="P79" i="15"/>
  <c r="J55" i="15"/>
  <c r="J21" i="18"/>
  <c r="V21" i="18" s="1"/>
  <c r="K21" i="18"/>
  <c r="P55" i="15"/>
  <c r="R55" i="15"/>
  <c r="V25" i="21" s="1"/>
  <c r="R75" i="15"/>
  <c r="V45" i="21" s="1"/>
  <c r="J32" i="18"/>
  <c r="V32" i="18" s="1"/>
  <c r="J66" i="15"/>
  <c r="J27" i="18"/>
  <c r="V27" i="18" s="1"/>
  <c r="J61" i="15"/>
  <c r="R70" i="15"/>
  <c r="V40" i="21" s="1"/>
  <c r="K24" i="18"/>
  <c r="R58" i="15"/>
  <c r="V28" i="21" s="1"/>
  <c r="P58" i="15"/>
  <c r="R98" i="15"/>
  <c r="V68" i="21" s="1"/>
  <c r="P98" i="15"/>
  <c r="J94" i="15"/>
  <c r="R94" i="15"/>
  <c r="V64" i="21" s="1"/>
  <c r="P94" i="15"/>
  <c r="R86" i="15"/>
  <c r="V56" i="21" s="1"/>
  <c r="P86" i="15"/>
  <c r="J65" i="15"/>
  <c r="J31" i="18"/>
  <c r="V31" i="18" s="1"/>
  <c r="P56" i="15"/>
  <c r="K22" i="18"/>
  <c r="R56" i="15"/>
  <c r="V26" i="21" s="1"/>
  <c r="R89" i="15"/>
  <c r="V59" i="21" s="1"/>
  <c r="J23" i="18"/>
  <c r="V23" i="18" s="1"/>
  <c r="J57" i="15"/>
  <c r="P76" i="15"/>
  <c r="R76" i="15"/>
  <c r="V46" i="21" s="1"/>
  <c r="J97" i="15"/>
  <c r="J93" i="15"/>
  <c r="J80" i="15"/>
  <c r="J29" i="18"/>
  <c r="V29" i="18" s="1"/>
  <c r="J63" i="15"/>
  <c r="R83" i="15"/>
  <c r="V53" i="21" s="1"/>
  <c r="P83" i="15"/>
  <c r="J73" i="15"/>
  <c r="J68" i="15"/>
  <c r="R91" i="15"/>
  <c r="V61" i="21" s="1"/>
  <c r="P91" i="15"/>
  <c r="P81" i="15"/>
  <c r="R81" i="15"/>
  <c r="V51" i="21" s="1"/>
  <c r="J77" i="15"/>
  <c r="R62" i="15"/>
  <c r="V32" i="21" s="1"/>
  <c r="P62" i="15"/>
  <c r="K28" i="18"/>
  <c r="J33" i="18"/>
  <c r="H103" i="15" s="1"/>
  <c r="J67" i="15"/>
  <c r="J79" i="15"/>
  <c r="P92" i="15"/>
  <c r="R92" i="15"/>
  <c r="V62" i="21" s="1"/>
  <c r="J71" i="15"/>
  <c r="R71" i="15"/>
  <c r="V41" i="21" s="1"/>
  <c r="P71" i="15"/>
  <c r="K19" i="18"/>
  <c r="R53" i="15"/>
  <c r="V23" i="21" s="1"/>
  <c r="P53" i="15"/>
  <c r="C103" i="15"/>
  <c r="U20" i="21" s="1"/>
  <c r="R96" i="15"/>
  <c r="V66" i="21" s="1"/>
  <c r="P96" i="15"/>
  <c r="Z34" i="20"/>
  <c r="Z42" i="20" s="1"/>
  <c r="Z66" i="20" s="1"/>
  <c r="AA18" i="20"/>
  <c r="AA34" i="20" s="1"/>
  <c r="AA42" i="20" s="1"/>
  <c r="AA66" i="20" s="1"/>
  <c r="T181" i="18"/>
  <c r="U181" i="18" s="1"/>
  <c r="Q181" i="18"/>
  <c r="R181" i="18" s="1"/>
  <c r="Q6" i="18"/>
  <c r="N181" i="18"/>
  <c r="O181" i="18" s="1"/>
  <c r="Q101" i="20"/>
  <c r="Q18" i="20"/>
  <c r="K7" i="18"/>
  <c r="L195" i="18"/>
  <c r="L196" i="18"/>
  <c r="L155" i="18"/>
  <c r="L191" i="18"/>
  <c r="J155" i="20"/>
  <c r="V155" i="20" s="1"/>
  <c r="L203" i="18"/>
  <c r="L188" i="18"/>
  <c r="L192" i="18"/>
  <c r="L187" i="18"/>
  <c r="J40" i="20"/>
  <c r="V40" i="20" s="1"/>
  <c r="J178" i="20"/>
  <c r="K178" i="20" s="1"/>
  <c r="J154" i="20"/>
  <c r="V154" i="20" s="1"/>
  <c r="J133" i="20"/>
  <c r="V133" i="20" s="1"/>
  <c r="J115" i="20"/>
  <c r="V115" i="20" s="1"/>
  <c r="J56" i="20"/>
  <c r="V56" i="20" s="1"/>
  <c r="J153" i="20"/>
  <c r="V153" i="20" s="1"/>
  <c r="J48" i="20"/>
  <c r="V48" i="20" s="1"/>
  <c r="J171" i="20"/>
  <c r="K171" i="20" s="1"/>
  <c r="J145" i="20"/>
  <c r="V145" i="20" s="1"/>
  <c r="J126" i="20"/>
  <c r="V126" i="20" s="1"/>
  <c r="J102" i="20"/>
  <c r="V102" i="20" s="1"/>
  <c r="J51" i="20"/>
  <c r="V51" i="20" s="1"/>
  <c r="J140" i="20"/>
  <c r="V140" i="20" s="1"/>
  <c r="J41" i="20"/>
  <c r="V41" i="20" s="1"/>
  <c r="J172" i="20"/>
  <c r="K172" i="20" s="1"/>
  <c r="J146" i="20"/>
  <c r="V146" i="20" s="1"/>
  <c r="J127" i="20"/>
  <c r="V127" i="20" s="1"/>
  <c r="J103" i="20"/>
  <c r="V103" i="20" s="1"/>
  <c r="J52" i="20"/>
  <c r="V52" i="20" s="1"/>
  <c r="J169" i="20"/>
  <c r="K169" i="20" s="1"/>
  <c r="J109" i="20"/>
  <c r="V109" i="20" s="1"/>
  <c r="J73" i="20"/>
  <c r="V73" i="20" s="1"/>
  <c r="J94" i="20"/>
  <c r="V94" i="20" s="1"/>
  <c r="J74" i="20"/>
  <c r="V74" i="20" s="1"/>
  <c r="J84" i="20"/>
  <c r="V84" i="20" s="1"/>
  <c r="J174" i="20"/>
  <c r="K174" i="20" s="1"/>
  <c r="J148" i="20"/>
  <c r="V148" i="20" s="1"/>
  <c r="J129" i="20"/>
  <c r="V129" i="20" s="1"/>
  <c r="J101" i="20"/>
  <c r="V101" i="20" s="1"/>
  <c r="J50" i="20"/>
  <c r="V50" i="20" s="1"/>
  <c r="J132" i="20"/>
  <c r="V132" i="20" s="1"/>
  <c r="J35" i="20"/>
  <c r="V35" i="20" s="1"/>
  <c r="J167" i="20"/>
  <c r="K167" i="20" s="1"/>
  <c r="J138" i="20"/>
  <c r="V138" i="20" s="1"/>
  <c r="J122" i="20"/>
  <c r="V122" i="20" s="1"/>
  <c r="J75" i="20"/>
  <c r="V75" i="20" s="1"/>
  <c r="J46" i="20"/>
  <c r="V46" i="20" s="1"/>
  <c r="J124" i="20"/>
  <c r="V124" i="20" s="1"/>
  <c r="J168" i="20"/>
  <c r="K168" i="20" s="1"/>
  <c r="J139" i="20"/>
  <c r="V139" i="20" s="1"/>
  <c r="J123" i="20"/>
  <c r="V123" i="20" s="1"/>
  <c r="J85" i="20"/>
  <c r="V85" i="20" s="1"/>
  <c r="J47" i="20"/>
  <c r="V47" i="20" s="1"/>
  <c r="J147" i="20"/>
  <c r="V147" i="20" s="1"/>
  <c r="J93" i="20"/>
  <c r="V93" i="20" s="1"/>
  <c r="J86" i="20"/>
  <c r="V86" i="20" s="1"/>
  <c r="J80" i="20"/>
  <c r="V80" i="20" s="1"/>
  <c r="J170" i="20"/>
  <c r="K170" i="20" s="1"/>
  <c r="J144" i="20"/>
  <c r="V144" i="20" s="1"/>
  <c r="J125" i="20"/>
  <c r="V125" i="20" s="1"/>
  <c r="J71" i="20"/>
  <c r="V71" i="20" s="1"/>
  <c r="J45" i="20"/>
  <c r="V45" i="20" s="1"/>
  <c r="J114" i="20"/>
  <c r="V114" i="20" s="1"/>
  <c r="J163" i="20"/>
  <c r="J134" i="20"/>
  <c r="V134" i="20" s="1"/>
  <c r="J116" i="20"/>
  <c r="V116" i="20" s="1"/>
  <c r="J61" i="20"/>
  <c r="V61" i="20" s="1"/>
  <c r="J38" i="20"/>
  <c r="V38" i="20" s="1"/>
  <c r="J177" i="20"/>
  <c r="K177" i="20" s="1"/>
  <c r="J110" i="20"/>
  <c r="V110" i="20" s="1"/>
  <c r="J164" i="20"/>
  <c r="K164" i="20" s="1"/>
  <c r="J135" i="20"/>
  <c r="V135" i="20" s="1"/>
  <c r="J117" i="20"/>
  <c r="V117" i="20" s="1"/>
  <c r="J62" i="20"/>
  <c r="V62" i="20" s="1"/>
  <c r="J39" i="20"/>
  <c r="V39" i="20" s="1"/>
  <c r="J136" i="20"/>
  <c r="V136" i="20" s="1"/>
  <c r="J76" i="20"/>
  <c r="V76" i="20" s="1"/>
  <c r="J95" i="20"/>
  <c r="V95" i="20" s="1"/>
  <c r="J83" i="20"/>
  <c r="V83" i="20" s="1"/>
  <c r="J91" i="20"/>
  <c r="V91" i="20" s="1"/>
  <c r="J10" i="20"/>
  <c r="K10" i="20" s="1"/>
  <c r="J60" i="20"/>
  <c r="V60" i="20" s="1"/>
  <c r="J175" i="20"/>
  <c r="K175" i="20" s="1"/>
  <c r="J57" i="20"/>
  <c r="V57" i="20" s="1"/>
  <c r="J176" i="20"/>
  <c r="K176" i="20" s="1"/>
  <c r="J58" i="20"/>
  <c r="V58" i="20" s="1"/>
  <c r="J81" i="20"/>
  <c r="V81" i="20" s="1"/>
  <c r="J82" i="20"/>
  <c r="V82" i="20" s="1"/>
  <c r="L145" i="18"/>
  <c r="L135" i="18"/>
  <c r="L126" i="18"/>
  <c r="L102" i="18"/>
  <c r="L76" i="18"/>
  <c r="L52" i="18"/>
  <c r="L39" i="18"/>
  <c r="L154" i="18"/>
  <c r="L114" i="18"/>
  <c r="L85" i="18"/>
  <c r="L132" i="18"/>
  <c r="L125" i="18"/>
  <c r="L115" i="18"/>
  <c r="L86" i="18"/>
  <c r="L63" i="18"/>
  <c r="L28" i="18"/>
  <c r="L18" i="18"/>
  <c r="L134" i="18"/>
  <c r="L101" i="18"/>
  <c r="L38" i="18"/>
  <c r="L60" i="18"/>
  <c r="L37" i="18"/>
  <c r="J166" i="20"/>
  <c r="K166" i="20" s="1"/>
  <c r="J37" i="20"/>
  <c r="V37" i="20" s="1"/>
  <c r="J149" i="20"/>
  <c r="V149" i="20" s="1"/>
  <c r="J150" i="20"/>
  <c r="V150" i="20" s="1"/>
  <c r="J72" i="20"/>
  <c r="V72" i="20" s="1"/>
  <c r="L50" i="18"/>
  <c r="L136" i="18"/>
  <c r="L83" i="18"/>
  <c r="L140" i="18"/>
  <c r="L133" i="18"/>
  <c r="L124" i="18"/>
  <c r="L112" i="18"/>
  <c r="L94" i="18"/>
  <c r="L153" i="18"/>
  <c r="L139" i="18"/>
  <c r="L130" i="18"/>
  <c r="L123" i="18"/>
  <c r="L113" i="18"/>
  <c r="L95" i="18"/>
  <c r="L84" i="18"/>
  <c r="L75" i="18"/>
  <c r="L61" i="18"/>
  <c r="L35" i="18"/>
  <c r="L26" i="18"/>
  <c r="L51" i="18"/>
  <c r="L74" i="18"/>
  <c r="L58" i="18"/>
  <c r="L33" i="18"/>
  <c r="L31" i="18"/>
  <c r="L29" i="18"/>
  <c r="L27" i="18"/>
  <c r="J137" i="20"/>
  <c r="V137" i="20" s="1"/>
  <c r="J18" i="20"/>
  <c r="J130" i="20"/>
  <c r="V130" i="20" s="1"/>
  <c r="J165" i="20"/>
  <c r="K165" i="20" s="1"/>
  <c r="J131" i="20"/>
  <c r="V131" i="20" s="1"/>
  <c r="J173" i="20"/>
  <c r="K173" i="20" s="1"/>
  <c r="J92" i="20"/>
  <c r="V92" i="20" s="1"/>
  <c r="L149" i="18"/>
  <c r="L93" i="18"/>
  <c r="L82" i="18"/>
  <c r="L47" i="18"/>
  <c r="L150" i="18"/>
  <c r="L81" i="18"/>
  <c r="L41" i="18"/>
  <c r="L138" i="18"/>
  <c r="L131" i="18"/>
  <c r="L122" i="18"/>
  <c r="L110" i="18"/>
  <c r="L111" i="18"/>
  <c r="L73" i="18"/>
  <c r="L59" i="18"/>
  <c r="L32" i="18"/>
  <c r="L24" i="18"/>
  <c r="L148" i="18"/>
  <c r="L129" i="18"/>
  <c r="L48" i="18"/>
  <c r="L72" i="18"/>
  <c r="L56" i="18"/>
  <c r="L25" i="18"/>
  <c r="L23" i="18"/>
  <c r="L21" i="18"/>
  <c r="L19" i="18"/>
  <c r="J121" i="20"/>
  <c r="V121" i="20" s="1"/>
  <c r="J113" i="20"/>
  <c r="V113" i="20" s="1"/>
  <c r="L137" i="18"/>
  <c r="L91" i="18"/>
  <c r="L45" i="18"/>
  <c r="L127" i="18"/>
  <c r="L116" i="18"/>
  <c r="L109" i="18"/>
  <c r="L46" i="18"/>
  <c r="J63" i="20"/>
  <c r="V63" i="20" s="1"/>
  <c r="J128" i="20"/>
  <c r="V128" i="20" s="1"/>
  <c r="L128" i="18"/>
  <c r="L80" i="18"/>
  <c r="L92" i="18"/>
  <c r="L30" i="18"/>
  <c r="L103" i="18"/>
  <c r="L62" i="18"/>
  <c r="J59" i="20"/>
  <c r="V59" i="20" s="1"/>
  <c r="L147" i="18"/>
  <c r="L144" i="18"/>
  <c r="L146" i="18"/>
  <c r="J112" i="20"/>
  <c r="V112" i="20" s="1"/>
  <c r="J87" i="20"/>
  <c r="V87" i="20" s="1"/>
  <c r="L121" i="18"/>
  <c r="L71" i="18"/>
  <c r="L87" i="18"/>
  <c r="L117" i="18"/>
  <c r="L22" i="18"/>
  <c r="L57" i="18"/>
  <c r="L20" i="18"/>
  <c r="J111" i="20"/>
  <c r="V111" i="20" s="1"/>
  <c r="L183" i="18"/>
  <c r="N71" i="20"/>
  <c r="N121" i="20"/>
  <c r="N56" i="20"/>
  <c r="V169" i="20"/>
  <c r="W169" i="20" s="1"/>
  <c r="T169" i="20"/>
  <c r="T144" i="20"/>
  <c r="T168" i="20"/>
  <c r="V168" i="20"/>
  <c r="W168" i="20" s="1"/>
  <c r="V175" i="20"/>
  <c r="W175" i="20" s="1"/>
  <c r="T175" i="20"/>
  <c r="V18" i="18"/>
  <c r="Q163" i="20"/>
  <c r="Q144" i="20"/>
  <c r="Q71" i="20"/>
  <c r="Q45" i="20"/>
  <c r="N109" i="20"/>
  <c r="N45" i="20"/>
  <c r="N80" i="20"/>
  <c r="N91" i="20"/>
  <c r="N163" i="20"/>
  <c r="T109" i="20"/>
  <c r="V163" i="20"/>
  <c r="T163" i="20"/>
  <c r="V173" i="20"/>
  <c r="W173" i="20" s="1"/>
  <c r="T173" i="20"/>
  <c r="T172" i="20"/>
  <c r="V172" i="20"/>
  <c r="W172" i="20" s="1"/>
  <c r="T45" i="20"/>
  <c r="T170" i="20"/>
  <c r="V170" i="20"/>
  <c r="W170" i="20" s="1"/>
  <c r="V177" i="20"/>
  <c r="W177" i="20" s="1"/>
  <c r="T177" i="20"/>
  <c r="V165" i="20"/>
  <c r="W165" i="20" s="1"/>
  <c r="T165" i="20"/>
  <c r="Q80" i="20"/>
  <c r="Q121" i="20"/>
  <c r="Q109" i="20"/>
  <c r="N101" i="20"/>
  <c r="N18" i="20"/>
  <c r="T71" i="20"/>
  <c r="T121" i="20"/>
  <c r="T167" i="20"/>
  <c r="V167" i="20"/>
  <c r="W167" i="20" s="1"/>
  <c r="T80" i="20"/>
  <c r="T101" i="20"/>
  <c r="T176" i="20"/>
  <c r="V176" i="20"/>
  <c r="W176" i="20" s="1"/>
  <c r="V174" i="20"/>
  <c r="W174" i="20" s="1"/>
  <c r="T174" i="20"/>
  <c r="T56" i="20"/>
  <c r="Q91" i="20"/>
  <c r="Q56" i="20"/>
  <c r="N144" i="20"/>
  <c r="T18" i="20"/>
  <c r="T178" i="20"/>
  <c r="V178" i="20"/>
  <c r="W178" i="20" s="1"/>
  <c r="T164" i="20"/>
  <c r="V164" i="20"/>
  <c r="W164" i="20" s="1"/>
  <c r="V166" i="20"/>
  <c r="W166" i="20" s="1"/>
  <c r="T166" i="20"/>
  <c r="T171" i="20"/>
  <c r="V171" i="20"/>
  <c r="W171" i="20" s="1"/>
  <c r="T91" i="20"/>
  <c r="U189" i="18" l="1"/>
  <c r="U197" i="18"/>
  <c r="P77" i="20"/>
  <c r="R197" i="18"/>
  <c r="Q77" i="20"/>
  <c r="R193" i="18"/>
  <c r="O197" i="18"/>
  <c r="U104" i="18"/>
  <c r="O96" i="18"/>
  <c r="O64" i="18"/>
  <c r="R96" i="18"/>
  <c r="R104" i="18"/>
  <c r="R118" i="18"/>
  <c r="P118" i="20"/>
  <c r="Q118" i="20"/>
  <c r="Q53" i="20"/>
  <c r="P151" i="20"/>
  <c r="M53" i="20"/>
  <c r="P53" i="20"/>
  <c r="O53" i="18"/>
  <c r="O193" i="18"/>
  <c r="O77" i="18"/>
  <c r="R151" i="18"/>
  <c r="R64" i="18"/>
  <c r="R34" i="18"/>
  <c r="R42" i="18" s="1"/>
  <c r="P96" i="20"/>
  <c r="R88" i="18"/>
  <c r="R77" i="18"/>
  <c r="R141" i="18"/>
  <c r="R53" i="18"/>
  <c r="N53" i="20"/>
  <c r="Q151" i="20"/>
  <c r="P179" i="20"/>
  <c r="P9" i="20" s="1"/>
  <c r="N77" i="20"/>
  <c r="P64" i="20"/>
  <c r="Q141" i="20"/>
  <c r="Q179" i="20"/>
  <c r="Q9" i="20" s="1"/>
  <c r="P104" i="20"/>
  <c r="Q64" i="20"/>
  <c r="P88" i="20"/>
  <c r="Q104" i="20"/>
  <c r="Q88" i="20"/>
  <c r="M96" i="20"/>
  <c r="Q96" i="20"/>
  <c r="N96" i="20"/>
  <c r="P141" i="20"/>
  <c r="M64" i="20"/>
  <c r="O88" i="18"/>
  <c r="O141" i="18"/>
  <c r="O104" i="18"/>
  <c r="O118" i="18"/>
  <c r="O34" i="18"/>
  <c r="O42" i="18" s="1"/>
  <c r="O151" i="18"/>
  <c r="M151" i="20"/>
  <c r="M104" i="20"/>
  <c r="N179" i="20"/>
  <c r="N9" i="20" s="1"/>
  <c r="M118" i="20"/>
  <c r="N151" i="20"/>
  <c r="T104" i="20"/>
  <c r="N104" i="20"/>
  <c r="M179" i="20"/>
  <c r="M9" i="20" s="1"/>
  <c r="N118" i="20"/>
  <c r="N64" i="20"/>
  <c r="M141" i="20"/>
  <c r="N141" i="20"/>
  <c r="M88" i="20"/>
  <c r="N88" i="20"/>
  <c r="M77" i="20"/>
  <c r="U96" i="18"/>
  <c r="J22" i="20"/>
  <c r="T96" i="20"/>
  <c r="S104" i="20"/>
  <c r="U77" i="18"/>
  <c r="T141" i="20"/>
  <c r="S53" i="20"/>
  <c r="S118" i="20"/>
  <c r="J25" i="20"/>
  <c r="J30" i="20"/>
  <c r="S77" i="20"/>
  <c r="U34" i="18"/>
  <c r="U42" i="18" s="1"/>
  <c r="S179" i="20"/>
  <c r="S9" i="20" s="1"/>
  <c r="T64" i="20"/>
  <c r="T53" i="20"/>
  <c r="T118" i="20"/>
  <c r="J33" i="20"/>
  <c r="U151" i="18"/>
  <c r="U64" i="18"/>
  <c r="U53" i="18"/>
  <c r="T88" i="20"/>
  <c r="T151" i="20"/>
  <c r="J27" i="20"/>
  <c r="U141" i="18"/>
  <c r="U88" i="18"/>
  <c r="S141" i="20"/>
  <c r="U118" i="18"/>
  <c r="T77" i="20"/>
  <c r="J34" i="18"/>
  <c r="J42" i="18" s="1"/>
  <c r="J66" i="18" s="1"/>
  <c r="J6" i="18" s="1"/>
  <c r="J20" i="20"/>
  <c r="S96" i="20"/>
  <c r="S64" i="20"/>
  <c r="S88" i="20"/>
  <c r="S151" i="20"/>
  <c r="J19" i="20"/>
  <c r="T159" i="18"/>
  <c r="T201" i="18" s="1"/>
  <c r="J24" i="20"/>
  <c r="J26" i="20"/>
  <c r="J21" i="20"/>
  <c r="J23" i="20"/>
  <c r="K34" i="18"/>
  <c r="K42" i="18" s="1"/>
  <c r="K66" i="18" s="1"/>
  <c r="K159" i="18" s="1"/>
  <c r="J31" i="20"/>
  <c r="J29" i="20"/>
  <c r="N159" i="18"/>
  <c r="N201" i="18" s="1"/>
  <c r="V33" i="18"/>
  <c r="Y33" i="18" s="1"/>
  <c r="J32" i="20"/>
  <c r="J28" i="20"/>
  <c r="S159" i="18"/>
  <c r="S6" i="18"/>
  <c r="AB27" i="20"/>
  <c r="AC27" i="20" s="1"/>
  <c r="Y27" i="18"/>
  <c r="AB25" i="20"/>
  <c r="AC25" i="20" s="1"/>
  <c r="Y25" i="18"/>
  <c r="Y30" i="18"/>
  <c r="AB30" i="20"/>
  <c r="AC30" i="20" s="1"/>
  <c r="P33" i="20"/>
  <c r="H105" i="15"/>
  <c r="J105" i="15" s="1"/>
  <c r="AB19" i="20"/>
  <c r="AC19" i="20" s="1"/>
  <c r="Y19" i="18"/>
  <c r="R103" i="15"/>
  <c r="V20" i="21" s="1"/>
  <c r="AB23" i="20"/>
  <c r="AC23" i="20" s="1"/>
  <c r="Y23" i="18"/>
  <c r="H104" i="15"/>
  <c r="J104" i="15" s="1"/>
  <c r="M33" i="20"/>
  <c r="AB26" i="20"/>
  <c r="AC26" i="20" s="1"/>
  <c r="Y26" i="18"/>
  <c r="AB29" i="20"/>
  <c r="AC29" i="20" s="1"/>
  <c r="Y29" i="18"/>
  <c r="Y31" i="18"/>
  <c r="AB31" i="20"/>
  <c r="AC31" i="20" s="1"/>
  <c r="AB32" i="20"/>
  <c r="AC32" i="20" s="1"/>
  <c r="Y32" i="18"/>
  <c r="S33" i="20"/>
  <c r="H106" i="15"/>
  <c r="J106" i="15" s="1"/>
  <c r="Y28" i="18"/>
  <c r="AB28" i="20"/>
  <c r="AC28" i="20" s="1"/>
  <c r="Y24" i="18"/>
  <c r="AB24" i="20"/>
  <c r="AC24" i="20" s="1"/>
  <c r="Y22" i="18"/>
  <c r="AB22" i="20"/>
  <c r="AC22" i="20" s="1"/>
  <c r="P34" i="18"/>
  <c r="P42" i="18" s="1"/>
  <c r="P66" i="18" s="1"/>
  <c r="Y21" i="18"/>
  <c r="AB21" i="20"/>
  <c r="AC21" i="20" s="1"/>
  <c r="AB20" i="20"/>
  <c r="AC20" i="20" s="1"/>
  <c r="Y20" i="18"/>
  <c r="M34" i="18"/>
  <c r="M42" i="18" s="1"/>
  <c r="M66" i="18" s="1"/>
  <c r="W59" i="20"/>
  <c r="K59" i="20"/>
  <c r="W113" i="20"/>
  <c r="K113" i="20"/>
  <c r="K131" i="20"/>
  <c r="W131" i="20"/>
  <c r="W137" i="20"/>
  <c r="K137" i="20"/>
  <c r="K24" i="20"/>
  <c r="V24" i="20"/>
  <c r="W24" i="20" s="1"/>
  <c r="K82" i="20"/>
  <c r="W82" i="20"/>
  <c r="W57" i="20"/>
  <c r="K57" i="20"/>
  <c r="K91" i="20"/>
  <c r="W136" i="20"/>
  <c r="K136" i="20"/>
  <c r="K117" i="20"/>
  <c r="W117" i="20"/>
  <c r="W110" i="20"/>
  <c r="K110" i="20"/>
  <c r="K116" i="20"/>
  <c r="W116" i="20"/>
  <c r="W114" i="20"/>
  <c r="K114" i="20"/>
  <c r="K125" i="20"/>
  <c r="W125" i="20"/>
  <c r="W86" i="20"/>
  <c r="K86" i="20"/>
  <c r="W47" i="20"/>
  <c r="K47" i="20"/>
  <c r="W46" i="20"/>
  <c r="K46" i="20"/>
  <c r="W50" i="20"/>
  <c r="K50" i="20"/>
  <c r="W73" i="20"/>
  <c r="K73" i="20"/>
  <c r="W52" i="20"/>
  <c r="K52" i="20"/>
  <c r="W51" i="20"/>
  <c r="K51" i="20"/>
  <c r="K56" i="20"/>
  <c r="V20" i="20"/>
  <c r="W20" i="20" s="1"/>
  <c r="K20" i="20"/>
  <c r="V33" i="20"/>
  <c r="W33" i="20" s="1"/>
  <c r="K33" i="20"/>
  <c r="K121" i="20"/>
  <c r="K72" i="20"/>
  <c r="W72" i="20"/>
  <c r="K149" i="20"/>
  <c r="W149" i="20"/>
  <c r="K81" i="20"/>
  <c r="W81" i="20"/>
  <c r="W83" i="20"/>
  <c r="K83" i="20"/>
  <c r="V31" i="20"/>
  <c r="W31" i="20" s="1"/>
  <c r="K31" i="20"/>
  <c r="W135" i="20"/>
  <c r="K135" i="20"/>
  <c r="W134" i="20"/>
  <c r="K134" i="20"/>
  <c r="V29" i="20"/>
  <c r="W29" i="20" s="1"/>
  <c r="K29" i="20"/>
  <c r="K144" i="20"/>
  <c r="W93" i="20"/>
  <c r="K93" i="20"/>
  <c r="K85" i="20"/>
  <c r="W85" i="20"/>
  <c r="K22" i="20"/>
  <c r="V22" i="20"/>
  <c r="W22" i="20" s="1"/>
  <c r="W75" i="20"/>
  <c r="K75" i="20"/>
  <c r="W35" i="20"/>
  <c r="K35" i="20"/>
  <c r="J104" i="20"/>
  <c r="K101" i="20"/>
  <c r="K84" i="20"/>
  <c r="W84" i="20"/>
  <c r="K109" i="20"/>
  <c r="K103" i="20"/>
  <c r="W103" i="20"/>
  <c r="W41" i="20"/>
  <c r="K41" i="20"/>
  <c r="K102" i="20"/>
  <c r="W102" i="20"/>
  <c r="W48" i="20"/>
  <c r="K48" i="20"/>
  <c r="W115" i="20"/>
  <c r="K115" i="20"/>
  <c r="W87" i="20"/>
  <c r="K87" i="20"/>
  <c r="W128" i="20"/>
  <c r="K128" i="20"/>
  <c r="W92" i="20"/>
  <c r="K92" i="20"/>
  <c r="K130" i="20"/>
  <c r="W130" i="20"/>
  <c r="K19" i="20"/>
  <c r="V19" i="20"/>
  <c r="W19" i="20" s="1"/>
  <c r="W37" i="20"/>
  <c r="K37" i="20"/>
  <c r="W58" i="20"/>
  <c r="K58" i="20"/>
  <c r="W60" i="20"/>
  <c r="K60" i="20"/>
  <c r="W95" i="20"/>
  <c r="K95" i="20"/>
  <c r="W39" i="20"/>
  <c r="K39" i="20"/>
  <c r="W38" i="20"/>
  <c r="K38" i="20"/>
  <c r="K45" i="20"/>
  <c r="K147" i="20"/>
  <c r="W147" i="20"/>
  <c r="K123" i="20"/>
  <c r="W123" i="20"/>
  <c r="W124" i="20"/>
  <c r="K124" i="20"/>
  <c r="W122" i="20"/>
  <c r="K122" i="20"/>
  <c r="W132" i="20"/>
  <c r="K132" i="20"/>
  <c r="K129" i="20"/>
  <c r="W129" i="20"/>
  <c r="K74" i="20"/>
  <c r="W74" i="20"/>
  <c r="W127" i="20"/>
  <c r="K127" i="20"/>
  <c r="K140" i="20"/>
  <c r="W140" i="20"/>
  <c r="K126" i="20"/>
  <c r="W126" i="20"/>
  <c r="W153" i="20"/>
  <c r="K153" i="20"/>
  <c r="W133" i="20"/>
  <c r="K133" i="20"/>
  <c r="W40" i="20"/>
  <c r="K40" i="20"/>
  <c r="W155" i="20"/>
  <c r="K155" i="20"/>
  <c r="AA6" i="20"/>
  <c r="AA159" i="20"/>
  <c r="AA8" i="20" s="1"/>
  <c r="W111" i="20"/>
  <c r="K111" i="20"/>
  <c r="K112" i="20"/>
  <c r="W112" i="20"/>
  <c r="W63" i="20"/>
  <c r="K63" i="20"/>
  <c r="K18" i="20"/>
  <c r="V18" i="20"/>
  <c r="K150" i="20"/>
  <c r="W150" i="20"/>
  <c r="K76" i="20"/>
  <c r="W76" i="20"/>
  <c r="W62" i="20"/>
  <c r="K62" i="20"/>
  <c r="K30" i="20"/>
  <c r="V30" i="20"/>
  <c r="W30" i="20" s="1"/>
  <c r="W61" i="20"/>
  <c r="K61" i="20"/>
  <c r="K26" i="20"/>
  <c r="V26" i="20"/>
  <c r="W26" i="20" s="1"/>
  <c r="K71" i="20"/>
  <c r="K80" i="20"/>
  <c r="K27" i="20"/>
  <c r="V27" i="20"/>
  <c r="W27" i="20" s="1"/>
  <c r="W139" i="20"/>
  <c r="K139" i="20"/>
  <c r="V32" i="20"/>
  <c r="W32" i="20" s="1"/>
  <c r="K32" i="20"/>
  <c r="K138" i="20"/>
  <c r="W138" i="20"/>
  <c r="V25" i="20"/>
  <c r="W25" i="20" s="1"/>
  <c r="K25" i="20"/>
  <c r="W148" i="20"/>
  <c r="K148" i="20"/>
  <c r="K94" i="20"/>
  <c r="W94" i="20"/>
  <c r="K23" i="20"/>
  <c r="V23" i="20"/>
  <c r="W23" i="20" s="1"/>
  <c r="K146" i="20"/>
  <c r="W146" i="20"/>
  <c r="K28" i="20"/>
  <c r="V28" i="20"/>
  <c r="W28" i="20" s="1"/>
  <c r="K145" i="20"/>
  <c r="W145" i="20"/>
  <c r="K21" i="20"/>
  <c r="V21" i="20"/>
  <c r="W21" i="20" s="1"/>
  <c r="K154" i="20"/>
  <c r="W154" i="20"/>
  <c r="Z181" i="20"/>
  <c r="AA181" i="20" s="1"/>
  <c r="Z6" i="20"/>
  <c r="Z159" i="20"/>
  <c r="Z8" i="20" s="1"/>
  <c r="L189" i="18"/>
  <c r="T8" i="18"/>
  <c r="Q201" i="18"/>
  <c r="Q8" i="18"/>
  <c r="N8" i="18"/>
  <c r="L141" i="18"/>
  <c r="K181" i="18"/>
  <c r="K6" i="18"/>
  <c r="L53" i="18"/>
  <c r="J141" i="20"/>
  <c r="L88" i="18"/>
  <c r="T179" i="20"/>
  <c r="T9" i="20" s="1"/>
  <c r="L151" i="18"/>
  <c r="L96" i="18"/>
  <c r="L64" i="18"/>
  <c r="K163" i="20"/>
  <c r="K179" i="20" s="1"/>
  <c r="K9" i="20" s="1"/>
  <c r="J179" i="20"/>
  <c r="J53" i="20"/>
  <c r="L193" i="18"/>
  <c r="L197" i="18"/>
  <c r="V179" i="20"/>
  <c r="W163" i="20"/>
  <c r="W179" i="20" s="1"/>
  <c r="W9" i="20" s="1"/>
  <c r="J181" i="18"/>
  <c r="J103" i="15"/>
  <c r="J77" i="20"/>
  <c r="J88" i="20"/>
  <c r="AB18" i="20"/>
  <c r="Y18" i="18"/>
  <c r="L34" i="18"/>
  <c r="L42" i="18" s="1"/>
  <c r="L77" i="18"/>
  <c r="J96" i="20"/>
  <c r="J64" i="20"/>
  <c r="L118" i="18"/>
  <c r="L104" i="18"/>
  <c r="J151" i="20"/>
  <c r="J118" i="20"/>
  <c r="U199" i="18" l="1"/>
  <c r="R199" i="18"/>
  <c r="U98" i="18"/>
  <c r="U106" i="18" s="1"/>
  <c r="U157" i="18" s="1"/>
  <c r="O199" i="18"/>
  <c r="O66" i="18"/>
  <c r="O6" i="18" s="1"/>
  <c r="R98" i="18"/>
  <c r="R106" i="18" s="1"/>
  <c r="R157" i="18" s="1"/>
  <c r="R7" i="18" s="1"/>
  <c r="N98" i="20"/>
  <c r="N106" i="20" s="1"/>
  <c r="N157" i="20" s="1"/>
  <c r="N7" i="20" s="1"/>
  <c r="P98" i="20"/>
  <c r="P106" i="20" s="1"/>
  <c r="P157" i="20" s="1"/>
  <c r="P7" i="20" s="1"/>
  <c r="R66" i="18"/>
  <c r="R6" i="18" s="1"/>
  <c r="O98" i="18"/>
  <c r="O106" i="18" s="1"/>
  <c r="O157" i="18" s="1"/>
  <c r="M98" i="20"/>
  <c r="M106" i="20" s="1"/>
  <c r="M157" i="20" s="1"/>
  <c r="M7" i="20" s="1"/>
  <c r="Q98" i="20"/>
  <c r="Q106" i="20" s="1"/>
  <c r="Q157" i="20" s="1"/>
  <c r="Q7" i="20" s="1"/>
  <c r="T98" i="20"/>
  <c r="T106" i="20" s="1"/>
  <c r="T157" i="20" s="1"/>
  <c r="T7" i="20" s="1"/>
  <c r="J159" i="18"/>
  <c r="J201" i="18" s="1"/>
  <c r="J205" i="18" s="1"/>
  <c r="M203" i="18" s="1"/>
  <c r="U66" i="18"/>
  <c r="U6" i="18" s="1"/>
  <c r="S98" i="20"/>
  <c r="S106" i="20" s="1"/>
  <c r="S157" i="20" s="1"/>
  <c r="S7" i="20" s="1"/>
  <c r="J34" i="20"/>
  <c r="J42" i="20" s="1"/>
  <c r="J66" i="20" s="1"/>
  <c r="J181" i="20" s="1"/>
  <c r="K181" i="20" s="1"/>
  <c r="V34" i="18"/>
  <c r="V42" i="18" s="1"/>
  <c r="V66" i="18" s="1"/>
  <c r="V159" i="18" s="1"/>
  <c r="J107" i="15"/>
  <c r="AB33" i="20"/>
  <c r="AC33" i="20" s="1"/>
  <c r="Y34" i="18"/>
  <c r="Y42" i="18" s="1"/>
  <c r="Y66" i="18" s="1"/>
  <c r="Y6" i="18" s="1"/>
  <c r="H107" i="15"/>
  <c r="M159" i="18"/>
  <c r="M6" i="18"/>
  <c r="N33" i="20"/>
  <c r="N34" i="20" s="1"/>
  <c r="N42" i="20" s="1"/>
  <c r="N66" i="20" s="1"/>
  <c r="N6" i="20" s="1"/>
  <c r="M34" i="20"/>
  <c r="M42" i="20" s="1"/>
  <c r="M66" i="20" s="1"/>
  <c r="Q33" i="20"/>
  <c r="Q34" i="20" s="1"/>
  <c r="Q42" i="20" s="1"/>
  <c r="Q66" i="20" s="1"/>
  <c r="Q6" i="20" s="1"/>
  <c r="P34" i="20"/>
  <c r="P42" i="20" s="1"/>
  <c r="P66" i="20" s="1"/>
  <c r="P6" i="20" s="1"/>
  <c r="P6" i="18"/>
  <c r="P159" i="18"/>
  <c r="T33" i="20"/>
  <c r="T34" i="20" s="1"/>
  <c r="T42" i="20" s="1"/>
  <c r="T66" i="20" s="1"/>
  <c r="T6" i="20" s="1"/>
  <c r="S34" i="20"/>
  <c r="S42" i="20" s="1"/>
  <c r="S66" i="20" s="1"/>
  <c r="S181" i="20" s="1"/>
  <c r="T181" i="20" s="1"/>
  <c r="S8" i="18"/>
  <c r="S201" i="18"/>
  <c r="K53" i="20"/>
  <c r="P181" i="20"/>
  <c r="Q181" i="20" s="1"/>
  <c r="K104" i="20"/>
  <c r="L98" i="18"/>
  <c r="L106" i="18" s="1"/>
  <c r="L157" i="18" s="1"/>
  <c r="L7" i="18" s="1"/>
  <c r="K77" i="20"/>
  <c r="K88" i="20"/>
  <c r="K118" i="20"/>
  <c r="W192" i="18"/>
  <c r="Z192" i="18" s="1"/>
  <c r="W155" i="18"/>
  <c r="W149" i="18"/>
  <c r="W145" i="18"/>
  <c r="W138" i="18"/>
  <c r="W134" i="18"/>
  <c r="W130" i="18"/>
  <c r="W126" i="18"/>
  <c r="W122" i="18"/>
  <c r="W115" i="18"/>
  <c r="W111" i="18"/>
  <c r="W102" i="18"/>
  <c r="W93" i="18"/>
  <c r="W86" i="18"/>
  <c r="W82" i="18"/>
  <c r="W75" i="18"/>
  <c r="W71" i="18"/>
  <c r="W60" i="18"/>
  <c r="W56" i="18"/>
  <c r="W48" i="18"/>
  <c r="W41" i="18"/>
  <c r="W37" i="18"/>
  <c r="W31" i="18"/>
  <c r="W27" i="18"/>
  <c r="W23" i="18"/>
  <c r="W19" i="18"/>
  <c r="W203" i="18"/>
  <c r="Z203" i="18" s="1"/>
  <c r="W191" i="18"/>
  <c r="W154" i="18"/>
  <c r="W148" i="18"/>
  <c r="W144" i="18"/>
  <c r="W137" i="18"/>
  <c r="W133" i="18"/>
  <c r="W129" i="18"/>
  <c r="W125" i="18"/>
  <c r="W121" i="18"/>
  <c r="W114" i="18"/>
  <c r="W110" i="18"/>
  <c r="W101" i="18"/>
  <c r="W92" i="18"/>
  <c r="W85" i="18"/>
  <c r="W81" i="18"/>
  <c r="W74" i="18"/>
  <c r="W63" i="18"/>
  <c r="W59" i="18"/>
  <c r="W52" i="18"/>
  <c r="W47" i="18"/>
  <c r="W40" i="18"/>
  <c r="W35" i="18"/>
  <c r="W30" i="18"/>
  <c r="W26" i="18"/>
  <c r="W22" i="18"/>
  <c r="W18" i="18"/>
  <c r="W196" i="18"/>
  <c r="Z196" i="18" s="1"/>
  <c r="W188" i="18"/>
  <c r="Z188" i="18" s="1"/>
  <c r="W153" i="18"/>
  <c r="W147" i="18"/>
  <c r="W140" i="18"/>
  <c r="W136" i="18"/>
  <c r="W132" i="18"/>
  <c r="W128" i="18"/>
  <c r="W124" i="18"/>
  <c r="W117" i="18"/>
  <c r="W113" i="18"/>
  <c r="W109" i="18"/>
  <c r="W95" i="18"/>
  <c r="W91" i="18"/>
  <c r="W84" i="18"/>
  <c r="W80" i="18"/>
  <c r="W73" i="18"/>
  <c r="W62" i="18"/>
  <c r="W58" i="18"/>
  <c r="W51" i="18"/>
  <c r="W46" i="18"/>
  <c r="W39" i="18"/>
  <c r="W33" i="18"/>
  <c r="W29" i="18"/>
  <c r="W25" i="18"/>
  <c r="W21" i="18"/>
  <c r="W195" i="18"/>
  <c r="W187" i="18"/>
  <c r="W150" i="18"/>
  <c r="W146" i="18"/>
  <c r="W139" i="18"/>
  <c r="W123" i="18"/>
  <c r="W94" i="18"/>
  <c r="W72" i="18"/>
  <c r="W45" i="18"/>
  <c r="W24" i="18"/>
  <c r="W135" i="18"/>
  <c r="W116" i="18"/>
  <c r="W87" i="18"/>
  <c r="W61" i="18"/>
  <c r="W38" i="18"/>
  <c r="W20" i="18"/>
  <c r="W131" i="18"/>
  <c r="W112" i="18"/>
  <c r="W83" i="18"/>
  <c r="W57" i="18"/>
  <c r="W32" i="18"/>
  <c r="W127" i="18"/>
  <c r="W103" i="18"/>
  <c r="W76" i="18"/>
  <c r="W50" i="18"/>
  <c r="W28" i="18"/>
  <c r="W109" i="20"/>
  <c r="W118" i="20" s="1"/>
  <c r="V118" i="20"/>
  <c r="W101" i="20"/>
  <c r="W104" i="20" s="1"/>
  <c r="V104" i="20"/>
  <c r="V151" i="20"/>
  <c r="W144" i="20"/>
  <c r="W151" i="20" s="1"/>
  <c r="K64" i="20"/>
  <c r="W91" i="20"/>
  <c r="W96" i="20" s="1"/>
  <c r="V96" i="20"/>
  <c r="V77" i="20"/>
  <c r="W71" i="20"/>
  <c r="W77" i="20" s="1"/>
  <c r="K151" i="20"/>
  <c r="W56" i="20"/>
  <c r="W64" i="20" s="1"/>
  <c r="V64" i="20"/>
  <c r="K96" i="20"/>
  <c r="V53" i="20"/>
  <c r="W45" i="20"/>
  <c r="W53" i="20" s="1"/>
  <c r="V141" i="20"/>
  <c r="W121" i="20"/>
  <c r="W141" i="20" s="1"/>
  <c r="K34" i="20"/>
  <c r="K42" i="20" s="1"/>
  <c r="V88" i="20"/>
  <c r="W80" i="20"/>
  <c r="W88" i="20" s="1"/>
  <c r="W18" i="20"/>
  <c r="W34" i="20" s="1"/>
  <c r="W42" i="20" s="1"/>
  <c r="V34" i="20"/>
  <c r="V42" i="20" s="1"/>
  <c r="K141" i="20"/>
  <c r="L181" i="18"/>
  <c r="U7" i="18"/>
  <c r="R8" i="18"/>
  <c r="O7" i="18"/>
  <c r="K201" i="18"/>
  <c r="K205" i="18" s="1"/>
  <c r="K8" i="18"/>
  <c r="L199" i="18"/>
  <c r="P183" i="20"/>
  <c r="Q183" i="20" s="1"/>
  <c r="M183" i="20"/>
  <c r="N183" i="20" s="1"/>
  <c r="J98" i="20"/>
  <c r="J106" i="20" s="1"/>
  <c r="J157" i="20" s="1"/>
  <c r="J7" i="20" s="1"/>
  <c r="AC18" i="20"/>
  <c r="V9" i="20"/>
  <c r="J9" i="20"/>
  <c r="M181" i="20"/>
  <c r="N181" i="20" s="1"/>
  <c r="L66" i="18"/>
  <c r="L6" i="18" s="1"/>
  <c r="S183" i="20"/>
  <c r="T183" i="20" s="1"/>
  <c r="O159" i="18" l="1"/>
  <c r="O201" i="18" s="1"/>
  <c r="M159" i="20"/>
  <c r="M8" i="20" s="1"/>
  <c r="R159" i="18"/>
  <c r="R201" i="18" s="1"/>
  <c r="J8" i="18"/>
  <c r="Q159" i="20"/>
  <c r="Q8" i="20" s="1"/>
  <c r="S159" i="20"/>
  <c r="S8" i="20" s="1"/>
  <c r="S6" i="20"/>
  <c r="U159" i="18"/>
  <c r="U201" i="18" s="1"/>
  <c r="N159" i="20"/>
  <c r="N8" i="20" s="1"/>
  <c r="T159" i="20"/>
  <c r="T8" i="20" s="1"/>
  <c r="M6" i="20"/>
  <c r="AB34" i="20"/>
  <c r="AB42" i="20" s="1"/>
  <c r="AB66" i="20" s="1"/>
  <c r="AB159" i="20" s="1"/>
  <c r="AB8" i="20" s="1"/>
  <c r="AC34" i="20"/>
  <c r="AC42" i="20" s="1"/>
  <c r="AC66" i="20" s="1"/>
  <c r="AC6" i="20" s="1"/>
  <c r="V6" i="18"/>
  <c r="P159" i="20"/>
  <c r="P8" i="20" s="1"/>
  <c r="Y159" i="18"/>
  <c r="Y8" i="18" s="1"/>
  <c r="P8" i="18"/>
  <c r="P201" i="18"/>
  <c r="M201" i="18"/>
  <c r="M205" i="18" s="1"/>
  <c r="P203" i="18" s="1"/>
  <c r="M8" i="18"/>
  <c r="K98" i="20"/>
  <c r="K106" i="20" s="1"/>
  <c r="K157" i="20" s="1"/>
  <c r="K7" i="20" s="1"/>
  <c r="W66" i="20"/>
  <c r="W6" i="20" s="1"/>
  <c r="J183" i="20"/>
  <c r="K183" i="20" s="1"/>
  <c r="W98" i="20"/>
  <c r="W106" i="20" s="1"/>
  <c r="W157" i="20" s="1"/>
  <c r="W7" i="20" s="1"/>
  <c r="X50" i="20"/>
  <c r="Y50" i="20" s="1"/>
  <c r="X50" i="18"/>
  <c r="Z50" i="18"/>
  <c r="Z32" i="18"/>
  <c r="X32" i="18"/>
  <c r="X32" i="20"/>
  <c r="Y32" i="20" s="1"/>
  <c r="X131" i="18"/>
  <c r="Z131" i="18"/>
  <c r="X131" i="20"/>
  <c r="Y131" i="20" s="1"/>
  <c r="X87" i="18"/>
  <c r="Z87" i="18"/>
  <c r="X87" i="20"/>
  <c r="Y87" i="20" s="1"/>
  <c r="W53" i="18"/>
  <c r="X45" i="18"/>
  <c r="X45" i="20"/>
  <c r="Z45" i="18"/>
  <c r="X139" i="18"/>
  <c r="Z139" i="18"/>
  <c r="X139" i="20"/>
  <c r="Y139" i="20" s="1"/>
  <c r="Z195" i="18"/>
  <c r="Z197" i="18" s="1"/>
  <c r="W197" i="18"/>
  <c r="X33" i="20"/>
  <c r="Y33" i="20" s="1"/>
  <c r="Z33" i="18"/>
  <c r="X33" i="18"/>
  <c r="X58" i="20"/>
  <c r="Y58" i="20" s="1"/>
  <c r="X58" i="18"/>
  <c r="Z58" i="18"/>
  <c r="X84" i="18"/>
  <c r="X84" i="20"/>
  <c r="Y84" i="20" s="1"/>
  <c r="Z84" i="18"/>
  <c r="X113" i="18"/>
  <c r="X113" i="20"/>
  <c r="Y113" i="20" s="1"/>
  <c r="Z113" i="18"/>
  <c r="X132" i="20"/>
  <c r="Y132" i="20" s="1"/>
  <c r="Z132" i="18"/>
  <c r="X132" i="18"/>
  <c r="Z153" i="18"/>
  <c r="X153" i="20"/>
  <c r="Y153" i="20" s="1"/>
  <c r="X153" i="18"/>
  <c r="X22" i="20"/>
  <c r="Y22" i="20" s="1"/>
  <c r="Z22" i="18"/>
  <c r="X22" i="18"/>
  <c r="X40" i="20"/>
  <c r="Y40" i="20" s="1"/>
  <c r="Z40" i="18"/>
  <c r="X40" i="18"/>
  <c r="Z63" i="18"/>
  <c r="X63" i="18"/>
  <c r="X63" i="20"/>
  <c r="Y63" i="20" s="1"/>
  <c r="X92" i="18"/>
  <c r="X92" i="20"/>
  <c r="Y92" i="20" s="1"/>
  <c r="Z92" i="18"/>
  <c r="Z121" i="18"/>
  <c r="W141" i="18"/>
  <c r="X121" i="20"/>
  <c r="X121" i="18"/>
  <c r="X137" i="18"/>
  <c r="X137" i="20"/>
  <c r="Y137" i="20" s="1"/>
  <c r="Z137" i="18"/>
  <c r="W193" i="18"/>
  <c r="Z191" i="18"/>
  <c r="Z193" i="18" s="1"/>
  <c r="X27" i="20"/>
  <c r="Y27" i="20" s="1"/>
  <c r="X27" i="18"/>
  <c r="Z27" i="18"/>
  <c r="X48" i="18"/>
  <c r="Z48" i="18"/>
  <c r="X48" i="20"/>
  <c r="Y48" i="20" s="1"/>
  <c r="X75" i="20"/>
  <c r="Y75" i="20" s="1"/>
  <c r="Z75" i="18"/>
  <c r="X75" i="18"/>
  <c r="X102" i="18"/>
  <c r="Z102" i="18"/>
  <c r="X102" i="20"/>
  <c r="Y102" i="20" s="1"/>
  <c r="X126" i="20"/>
  <c r="Y126" i="20" s="1"/>
  <c r="Z126" i="18"/>
  <c r="X126" i="18"/>
  <c r="Z145" i="18"/>
  <c r="X145" i="20"/>
  <c r="Y145" i="20" s="1"/>
  <c r="X145" i="18"/>
  <c r="Z76" i="18"/>
  <c r="X76" i="18"/>
  <c r="X76" i="20"/>
  <c r="Y76" i="20" s="1"/>
  <c r="X57" i="20"/>
  <c r="Y57" i="20" s="1"/>
  <c r="X57" i="18"/>
  <c r="Z57" i="18"/>
  <c r="X20" i="18"/>
  <c r="X20" i="20"/>
  <c r="Y20" i="20" s="1"/>
  <c r="Z20" i="18"/>
  <c r="X116" i="18"/>
  <c r="X116" i="20"/>
  <c r="Y116" i="20" s="1"/>
  <c r="Z116" i="18"/>
  <c r="X72" i="20"/>
  <c r="Y72" i="20" s="1"/>
  <c r="Z72" i="18"/>
  <c r="X72" i="18"/>
  <c r="Z146" i="18"/>
  <c r="X146" i="18"/>
  <c r="X146" i="20"/>
  <c r="Y146" i="20" s="1"/>
  <c r="X21" i="20"/>
  <c r="Y21" i="20" s="1"/>
  <c r="X21" i="18"/>
  <c r="Z21" i="18"/>
  <c r="X39" i="20"/>
  <c r="Y39" i="20" s="1"/>
  <c r="Z39" i="18"/>
  <c r="X39" i="18"/>
  <c r="Z62" i="18"/>
  <c r="X62" i="18"/>
  <c r="X62" i="20"/>
  <c r="Y62" i="20" s="1"/>
  <c r="X91" i="18"/>
  <c r="X91" i="20"/>
  <c r="Z91" i="18"/>
  <c r="W96" i="18"/>
  <c r="Z117" i="18"/>
  <c r="X117" i="20"/>
  <c r="Y117" i="20" s="1"/>
  <c r="X117" i="18"/>
  <c r="X136" i="20"/>
  <c r="Y136" i="20" s="1"/>
  <c r="X136" i="18"/>
  <c r="Z136" i="18"/>
  <c r="X26" i="20"/>
  <c r="Y26" i="20" s="1"/>
  <c r="Z26" i="18"/>
  <c r="X26" i="18"/>
  <c r="X47" i="20"/>
  <c r="Y47" i="20" s="1"/>
  <c r="Z47" i="18"/>
  <c r="X47" i="18"/>
  <c r="X74" i="20"/>
  <c r="Y74" i="20" s="1"/>
  <c r="Z74" i="18"/>
  <c r="X74" i="18"/>
  <c r="Z101" i="18"/>
  <c r="X101" i="18"/>
  <c r="X101" i="20"/>
  <c r="W104" i="18"/>
  <c r="X125" i="20"/>
  <c r="Y125" i="20" s="1"/>
  <c r="Z125" i="18"/>
  <c r="X125" i="18"/>
  <c r="W151" i="18"/>
  <c r="Z144" i="18"/>
  <c r="X144" i="20"/>
  <c r="X144" i="18"/>
  <c r="X31" i="20"/>
  <c r="Y31" i="20" s="1"/>
  <c r="Z31" i="18"/>
  <c r="X31" i="18"/>
  <c r="W64" i="18"/>
  <c r="X56" i="20"/>
  <c r="X56" i="18"/>
  <c r="Z56" i="18"/>
  <c r="X82" i="20"/>
  <c r="Y82" i="20" s="1"/>
  <c r="X82" i="18"/>
  <c r="Z82" i="18"/>
  <c r="Z111" i="18"/>
  <c r="X111" i="18"/>
  <c r="X111" i="20"/>
  <c r="Y111" i="20" s="1"/>
  <c r="X130" i="18"/>
  <c r="X130" i="20"/>
  <c r="Y130" i="20" s="1"/>
  <c r="Z130" i="18"/>
  <c r="X149" i="20"/>
  <c r="Y149" i="20" s="1"/>
  <c r="Z149" i="18"/>
  <c r="X149" i="18"/>
  <c r="V66" i="20"/>
  <c r="V181" i="20" s="1"/>
  <c r="W181" i="20" s="1"/>
  <c r="X103" i="20"/>
  <c r="Y103" i="20" s="1"/>
  <c r="Z103" i="18"/>
  <c r="X103" i="18"/>
  <c r="X83" i="18"/>
  <c r="X83" i="20"/>
  <c r="Y83" i="20" s="1"/>
  <c r="Z83" i="18"/>
  <c r="X38" i="20"/>
  <c r="Y38" i="20" s="1"/>
  <c r="Z38" i="18"/>
  <c r="X38" i="18"/>
  <c r="Z135" i="18"/>
  <c r="X135" i="20"/>
  <c r="Y135" i="20" s="1"/>
  <c r="X135" i="18"/>
  <c r="X94" i="18"/>
  <c r="Z94" i="18"/>
  <c r="X94" i="20"/>
  <c r="Y94" i="20" s="1"/>
  <c r="X150" i="20"/>
  <c r="Y150" i="20" s="1"/>
  <c r="X150" i="18"/>
  <c r="Z150" i="18"/>
  <c r="X25" i="20"/>
  <c r="Y25" i="20" s="1"/>
  <c r="Z25" i="18"/>
  <c r="X25" i="18"/>
  <c r="X46" i="20"/>
  <c r="Y46" i="20" s="1"/>
  <c r="Z46" i="18"/>
  <c r="X46" i="18"/>
  <c r="Z73" i="18"/>
  <c r="X73" i="18"/>
  <c r="X73" i="20"/>
  <c r="Y73" i="20" s="1"/>
  <c r="X95" i="20"/>
  <c r="Y95" i="20" s="1"/>
  <c r="X95" i="18"/>
  <c r="Z95" i="18"/>
  <c r="X124" i="18"/>
  <c r="Z124" i="18"/>
  <c r="X124" i="20"/>
  <c r="Y124" i="20" s="1"/>
  <c r="X140" i="18"/>
  <c r="X140" i="20"/>
  <c r="Y140" i="20" s="1"/>
  <c r="Z140" i="18"/>
  <c r="X30" i="20"/>
  <c r="Y30" i="20" s="1"/>
  <c r="X30" i="18"/>
  <c r="Z30" i="18"/>
  <c r="X52" i="20"/>
  <c r="Y52" i="20" s="1"/>
  <c r="X52" i="18"/>
  <c r="Z52" i="18"/>
  <c r="X81" i="18"/>
  <c r="Z81" i="18"/>
  <c r="X81" i="20"/>
  <c r="Y81" i="20" s="1"/>
  <c r="Z110" i="18"/>
  <c r="X110" i="18"/>
  <c r="X110" i="20"/>
  <c r="Y110" i="20" s="1"/>
  <c r="X129" i="18"/>
  <c r="X129" i="20"/>
  <c r="Y129" i="20" s="1"/>
  <c r="Z129" i="18"/>
  <c r="Z148" i="18"/>
  <c r="X148" i="20"/>
  <c r="Y148" i="20" s="1"/>
  <c r="X148" i="18"/>
  <c r="X19" i="20"/>
  <c r="Y19" i="20" s="1"/>
  <c r="Z19" i="18"/>
  <c r="X19" i="18"/>
  <c r="X37" i="18"/>
  <c r="Z37" i="18"/>
  <c r="X37" i="20"/>
  <c r="Y37" i="20" s="1"/>
  <c r="Z60" i="18"/>
  <c r="X60" i="18"/>
  <c r="X60" i="20"/>
  <c r="Y60" i="20" s="1"/>
  <c r="X86" i="18"/>
  <c r="X86" i="20"/>
  <c r="Y86" i="20" s="1"/>
  <c r="Z86" i="18"/>
  <c r="X115" i="20"/>
  <c r="Y115" i="20" s="1"/>
  <c r="X115" i="18"/>
  <c r="Z115" i="18"/>
  <c r="X134" i="18"/>
  <c r="X134" i="20"/>
  <c r="Y134" i="20" s="1"/>
  <c r="Z134" i="18"/>
  <c r="X155" i="20"/>
  <c r="Y155" i="20" s="1"/>
  <c r="X155" i="18"/>
  <c r="Z155" i="18"/>
  <c r="X28" i="18"/>
  <c r="Z28" i="18"/>
  <c r="X28" i="20"/>
  <c r="Y28" i="20" s="1"/>
  <c r="X127" i="20"/>
  <c r="Y127" i="20" s="1"/>
  <c r="X127" i="18"/>
  <c r="Z127" i="18"/>
  <c r="Z112" i="18"/>
  <c r="X112" i="18"/>
  <c r="X112" i="20"/>
  <c r="Y112" i="20" s="1"/>
  <c r="X61" i="20"/>
  <c r="Y61" i="20" s="1"/>
  <c r="Z61" i="18"/>
  <c r="X61" i="18"/>
  <c r="X24" i="18"/>
  <c r="Z24" i="18"/>
  <c r="X24" i="20"/>
  <c r="Y24" i="20" s="1"/>
  <c r="Z123" i="18"/>
  <c r="X123" i="20"/>
  <c r="Y123" i="20" s="1"/>
  <c r="X123" i="18"/>
  <c r="Z187" i="18"/>
  <c r="Z189" i="18" s="1"/>
  <c r="W189" i="18"/>
  <c r="X29" i="20"/>
  <c r="Y29" i="20" s="1"/>
  <c r="X29" i="18"/>
  <c r="Z29" i="18"/>
  <c r="X51" i="18"/>
  <c r="X51" i="20"/>
  <c r="Y51" i="20" s="1"/>
  <c r="Z51" i="18"/>
  <c r="Z80" i="18"/>
  <c r="X80" i="18"/>
  <c r="X80" i="20"/>
  <c r="W88" i="18"/>
  <c r="X109" i="20"/>
  <c r="X109" i="18"/>
  <c r="Z109" i="18"/>
  <c r="W118" i="18"/>
  <c r="X128" i="18"/>
  <c r="Z128" i="18"/>
  <c r="X128" i="20"/>
  <c r="Y128" i="20" s="1"/>
  <c r="X147" i="20"/>
  <c r="Y147" i="20" s="1"/>
  <c r="Z147" i="18"/>
  <c r="X147" i="18"/>
  <c r="X195" i="18"/>
  <c r="X188" i="18"/>
  <c r="X191" i="18"/>
  <c r="X18" i="18"/>
  <c r="X196" i="18"/>
  <c r="X187" i="18"/>
  <c r="X192" i="18"/>
  <c r="W34" i="18"/>
  <c r="W42" i="18" s="1"/>
  <c r="Z18" i="18"/>
  <c r="X18" i="20"/>
  <c r="X203" i="18"/>
  <c r="X35" i="18"/>
  <c r="Z35" i="18"/>
  <c r="X35" i="20"/>
  <c r="Y35" i="20" s="1"/>
  <c r="Z59" i="18"/>
  <c r="X59" i="18"/>
  <c r="X59" i="20"/>
  <c r="Y59" i="20" s="1"/>
  <c r="X85" i="18"/>
  <c r="X85" i="20"/>
  <c r="Y85" i="20" s="1"/>
  <c r="Z85" i="18"/>
  <c r="X114" i="18"/>
  <c r="X114" i="20"/>
  <c r="Y114" i="20" s="1"/>
  <c r="Z114" i="18"/>
  <c r="X133" i="20"/>
  <c r="Y133" i="20" s="1"/>
  <c r="Z133" i="18"/>
  <c r="X133" i="18"/>
  <c r="X154" i="20"/>
  <c r="Y154" i="20" s="1"/>
  <c r="Z154" i="18"/>
  <c r="X154" i="18"/>
  <c r="X23" i="20"/>
  <c r="Y23" i="20" s="1"/>
  <c r="Z23" i="18"/>
  <c r="X23" i="18"/>
  <c r="X41" i="20"/>
  <c r="Y41" i="20" s="1"/>
  <c r="X41" i="18"/>
  <c r="Z41" i="18"/>
  <c r="X71" i="18"/>
  <c r="X71" i="20"/>
  <c r="W77" i="18"/>
  <c r="Z71" i="18"/>
  <c r="Z93" i="18"/>
  <c r="X93" i="18"/>
  <c r="X93" i="20"/>
  <c r="Y93" i="20" s="1"/>
  <c r="Z122" i="18"/>
  <c r="X122" i="18"/>
  <c r="X122" i="20"/>
  <c r="Y122" i="20" s="1"/>
  <c r="Z138" i="18"/>
  <c r="X138" i="18"/>
  <c r="X138" i="20"/>
  <c r="Y138" i="20" s="1"/>
  <c r="K66" i="20"/>
  <c r="V98" i="20"/>
  <c r="V106" i="20" s="1"/>
  <c r="V157" i="20" s="1"/>
  <c r="N203" i="18"/>
  <c r="N205" i="18" s="1"/>
  <c r="U8" i="18"/>
  <c r="O8" i="18"/>
  <c r="J6" i="20"/>
  <c r="J159" i="20"/>
  <c r="J8" i="20" s="1"/>
  <c r="L159" i="18"/>
  <c r="V8" i="18"/>
  <c r="V201" i="18"/>
  <c r="Y201" i="18" l="1"/>
  <c r="Y205" i="18" s="1"/>
  <c r="AC159" i="20"/>
  <c r="AC8" i="20" s="1"/>
  <c r="AB6" i="20"/>
  <c r="V6" i="20"/>
  <c r="X189" i="18"/>
  <c r="Z77" i="18"/>
  <c r="Z199" i="18"/>
  <c r="W98" i="18"/>
  <c r="W106" i="18" s="1"/>
  <c r="W157" i="18" s="1"/>
  <c r="W7" i="18" s="1"/>
  <c r="X77" i="18"/>
  <c r="W66" i="18"/>
  <c r="W6" i="18" s="1"/>
  <c r="W199" i="18"/>
  <c r="X34" i="18"/>
  <c r="X42" i="18" s="1"/>
  <c r="X118" i="18"/>
  <c r="X88" i="18"/>
  <c r="Z64" i="18"/>
  <c r="Y144" i="20"/>
  <c r="Y151" i="20" s="1"/>
  <c r="X151" i="20"/>
  <c r="X104" i="18"/>
  <c r="X96" i="18"/>
  <c r="X141" i="20"/>
  <c r="Y121" i="20"/>
  <c r="Y141" i="20" s="1"/>
  <c r="X53" i="18"/>
  <c r="X193" i="18"/>
  <c r="Y109" i="20"/>
  <c r="Y118" i="20" s="1"/>
  <c r="X118" i="20"/>
  <c r="Z88" i="18"/>
  <c r="X64" i="18"/>
  <c r="Z151" i="18"/>
  <c r="Z104" i="18"/>
  <c r="Y18" i="20"/>
  <c r="Y34" i="20" s="1"/>
  <c r="Y42" i="20" s="1"/>
  <c r="X34" i="20"/>
  <c r="X42" i="20" s="1"/>
  <c r="Y56" i="20"/>
  <c r="Y64" i="20" s="1"/>
  <c r="X64" i="20"/>
  <c r="Z96" i="18"/>
  <c r="Z141" i="18"/>
  <c r="Z53" i="18"/>
  <c r="W159" i="20"/>
  <c r="W8" i="20" s="1"/>
  <c r="X77" i="20"/>
  <c r="Y71" i="20"/>
  <c r="Y77" i="20" s="1"/>
  <c r="Z34" i="18"/>
  <c r="Z42" i="18" s="1"/>
  <c r="X197" i="18"/>
  <c r="Z118" i="18"/>
  <c r="Y80" i="20"/>
  <c r="Y88" i="20" s="1"/>
  <c r="X88" i="20"/>
  <c r="X151" i="18"/>
  <c r="X104" i="20"/>
  <c r="Y101" i="20"/>
  <c r="Y104" i="20" s="1"/>
  <c r="Y91" i="20"/>
  <c r="Y96" i="20" s="1"/>
  <c r="X96" i="20"/>
  <c r="X141" i="18"/>
  <c r="X53" i="20"/>
  <c r="Y45" i="20"/>
  <c r="Y53" i="20" s="1"/>
  <c r="V7" i="20"/>
  <c r="V183" i="20"/>
  <c r="W183" i="20" s="1"/>
  <c r="V159" i="20"/>
  <c r="V8" i="20" s="1"/>
  <c r="K6" i="20"/>
  <c r="K159" i="20"/>
  <c r="K8" i="20" s="1"/>
  <c r="O203" i="18"/>
  <c r="O205" i="18" s="1"/>
  <c r="P205" i="18"/>
  <c r="S203" i="18" s="1"/>
  <c r="Q203" i="18"/>
  <c r="Q205" i="18" s="1"/>
  <c r="L201" i="18"/>
  <c r="L205" i="18" s="1"/>
  <c r="L8" i="18"/>
  <c r="W159" i="18" l="1"/>
  <c r="X199" i="18"/>
  <c r="X98" i="18"/>
  <c r="X106" i="18" s="1"/>
  <c r="X157" i="18" s="1"/>
  <c r="X7" i="18" s="1"/>
  <c r="Z98" i="18"/>
  <c r="Z106" i="18" s="1"/>
  <c r="Z157" i="18" s="1"/>
  <c r="Z7" i="18" s="1"/>
  <c r="X98" i="20"/>
  <c r="X106" i="20" s="1"/>
  <c r="X157" i="20" s="1"/>
  <c r="X7" i="20" s="1"/>
  <c r="X66" i="20"/>
  <c r="Y66" i="20"/>
  <c r="Y98" i="20"/>
  <c r="Y106" i="20" s="1"/>
  <c r="Y157" i="20" s="1"/>
  <c r="Y7" i="20" s="1"/>
  <c r="X66" i="18"/>
  <c r="Z66" i="18"/>
  <c r="R203" i="18"/>
  <c r="R205" i="18" s="1"/>
  <c r="S205" i="18"/>
  <c r="T203" i="18"/>
  <c r="T205" i="18" s="1"/>
  <c r="W205" i="18" l="1"/>
  <c r="W8" i="18"/>
  <c r="W201" i="18"/>
  <c r="Y6" i="20"/>
  <c r="Y159" i="20"/>
  <c r="Y8" i="20" s="1"/>
  <c r="Z6" i="18"/>
  <c r="Z159" i="18"/>
  <c r="X159" i="20"/>
  <c r="X8" i="20" s="1"/>
  <c r="X6" i="20"/>
  <c r="X6" i="18"/>
  <c r="X159" i="18"/>
  <c r="U203" i="18"/>
  <c r="U205" i="18" s="1"/>
  <c r="V205" i="18"/>
  <c r="X201" i="18" l="1"/>
  <c r="X205" i="18" s="1"/>
  <c r="X8" i="18"/>
  <c r="Z201" i="18"/>
  <c r="Z205" i="18" s="1"/>
  <c r="Z8"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flackjo</author>
  </authors>
  <commentList>
    <comment ref="C29" authorId="0" shapeId="0" xr:uid="{00000000-0006-0000-0000-000001000000}">
      <text>
        <r>
          <rPr>
            <b/>
            <sz val="9"/>
            <color indexed="81"/>
            <rFont val="Tahoma"/>
            <family val="2"/>
          </rPr>
          <t xml:space="preserve">NOTE:
</t>
        </r>
        <r>
          <rPr>
            <sz val="9"/>
            <color indexed="81"/>
            <rFont val="Tahoma"/>
            <family val="2"/>
          </rPr>
          <t xml:space="preserve">Sample guidance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Flack, John</author>
    <author>flackjo</author>
  </authors>
  <commentList>
    <comment ref="E21" authorId="0" shapeId="0" xr:uid="{00000000-0006-0000-0300-000001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22" authorId="1" shapeId="0" xr:uid="{00000000-0006-0000-0300-000002000000}">
      <text>
        <r>
          <rPr>
            <b/>
            <sz val="9"/>
            <color indexed="81"/>
            <rFont val="Tahoma"/>
            <family val="2"/>
          </rPr>
          <t xml:space="preserve">NOTE:
</t>
        </r>
        <r>
          <rPr>
            <sz val="9"/>
            <color indexed="81"/>
            <rFont val="Tahoma"/>
            <family val="2"/>
          </rPr>
          <t>The</t>
        </r>
        <r>
          <rPr>
            <b/>
            <sz val="9"/>
            <color indexed="81"/>
            <rFont val="Tahoma"/>
            <family val="2"/>
          </rPr>
          <t xml:space="preserve"> PRIMARY District </t>
        </r>
        <r>
          <rPr>
            <sz val="9"/>
            <color indexed="81"/>
            <rFont val="Tahoma"/>
            <family val="2"/>
          </rPr>
          <t>is the district where the majority of students reside.</t>
        </r>
      </text>
    </comment>
    <comment ref="B23" authorId="1" shapeId="0" xr:uid="{00000000-0006-0000-0300-000003000000}">
      <text>
        <r>
          <rPr>
            <b/>
            <sz val="9"/>
            <color indexed="81"/>
            <rFont val="Tahoma"/>
            <family val="2"/>
          </rPr>
          <t xml:space="preserve">NOTE:
</t>
        </r>
        <r>
          <rPr>
            <sz val="9"/>
            <color indexed="81"/>
            <rFont val="Tahoma"/>
            <family val="2"/>
          </rPr>
          <t xml:space="preserve">The </t>
        </r>
        <r>
          <rPr>
            <b/>
            <sz val="9"/>
            <color indexed="81"/>
            <rFont val="Tahoma"/>
            <family val="2"/>
          </rPr>
          <t xml:space="preserve">SECONDARY District </t>
        </r>
        <r>
          <rPr>
            <sz val="9"/>
            <color indexed="81"/>
            <rFont val="Tahoma"/>
            <family val="2"/>
          </rPr>
          <t>is the district where the 2nd most number of students reside.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Flack, John</author>
    <author>hrubyda</author>
  </authors>
  <commentList>
    <comment ref="D12" authorId="0" shapeId="0" xr:uid="{00000000-0006-0000-0400-000001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13" authorId="1" shapeId="0" xr:uid="{00000000-0006-0000-0400-000002000000}">
      <text>
        <r>
          <rPr>
            <b/>
            <sz val="8"/>
            <color indexed="81"/>
            <rFont val="Tahoma"/>
            <family val="2"/>
          </rPr>
          <t xml:space="preserve">Sample titles that fall under this line:
- </t>
        </r>
        <r>
          <rPr>
            <sz val="8"/>
            <color indexed="81"/>
            <rFont val="Tahoma"/>
            <family val="2"/>
          </rPr>
          <t>Head of School
- Superintendant
- School Leader
- Executive Director
- CEO</t>
        </r>
      </text>
    </comment>
    <comment ref="B14" authorId="1" shapeId="0" xr:uid="{00000000-0006-0000-0400-000003000000}">
      <text>
        <r>
          <rPr>
            <b/>
            <sz val="8"/>
            <color indexed="81"/>
            <rFont val="Tahoma"/>
            <family val="2"/>
          </rPr>
          <t xml:space="preserve">Sample titles that fall under this line:
- </t>
        </r>
        <r>
          <rPr>
            <sz val="8"/>
            <color indexed="81"/>
            <rFont val="Tahoma"/>
            <family val="2"/>
          </rPr>
          <t>Principal
- Vice-Principal
- Assistant Principal
- Chief Academic Officer</t>
        </r>
      </text>
    </comment>
    <comment ref="B15" authorId="1" shapeId="0" xr:uid="{00000000-0006-0000-0400-000004000000}">
      <text>
        <r>
          <rPr>
            <b/>
            <sz val="8"/>
            <color indexed="81"/>
            <rFont val="Tahoma"/>
            <family val="2"/>
          </rPr>
          <t xml:space="preserve">Sample titles that fall under this line:
</t>
        </r>
        <r>
          <rPr>
            <sz val="8"/>
            <color indexed="81"/>
            <rFont val="Tahoma"/>
            <family val="2"/>
          </rPr>
          <t>Director, Deans, Coordinators of:
 - Curriculum
 - Instruction
 - Faculty
 - Students
 - Assessment
 - Student Affairs
 - Student Achievement
 - Development</t>
        </r>
      </text>
    </comment>
    <comment ref="B18" authorId="1" shapeId="0" xr:uid="{00000000-0006-0000-0400-000005000000}">
      <text>
        <r>
          <rPr>
            <b/>
            <sz val="8"/>
            <color indexed="81"/>
            <rFont val="Tahoma"/>
            <family val="2"/>
          </rPr>
          <t>Sample titles that fall under this line:</t>
        </r>
        <r>
          <rPr>
            <sz val="8"/>
            <color indexed="81"/>
            <rFont val="Tahoma"/>
            <family val="2"/>
          </rPr>
          <t xml:space="preserve">
 - Secretary
 - Receptionist
 - Attendance Clerk
 - Office Manager</t>
        </r>
      </text>
    </comment>
    <comment ref="D23" authorId="0" shapeId="0" xr:uid="{00000000-0006-0000-0400-000006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24" authorId="1" shapeId="0" xr:uid="{00000000-0006-0000-0400-000007000000}">
      <text>
        <r>
          <rPr>
            <b/>
            <sz val="8"/>
            <color indexed="81"/>
            <rFont val="Tahoma"/>
            <family val="2"/>
          </rPr>
          <t>Sample titles that fall under this line:</t>
        </r>
        <r>
          <rPr>
            <sz val="8"/>
            <color indexed="81"/>
            <rFont val="Tahoma"/>
            <family val="2"/>
          </rPr>
          <t xml:space="preserve">
Content/Subject Area Teachers:
   - ELA
   - Math
   - Social Studies
   - Science</t>
        </r>
      </text>
    </comment>
    <comment ref="B28" authorId="1" shapeId="0" xr:uid="{00000000-0006-0000-0400-000008000000}">
      <text>
        <r>
          <rPr>
            <b/>
            <sz val="8"/>
            <color indexed="81"/>
            <rFont val="Tahoma"/>
            <family val="2"/>
          </rPr>
          <t>Sample titles that fall under this line:</t>
        </r>
        <r>
          <rPr>
            <sz val="8"/>
            <color indexed="81"/>
            <rFont val="Tahoma"/>
            <family val="2"/>
          </rPr>
          <t xml:space="preserve">
 - ESL
 - Reading
 - Math and/or Literacy Specialists
 - Art
 - PE
 - Music
 - Foreign Languages
 - Photography
 - Ceramics</t>
        </r>
      </text>
    </comment>
    <comment ref="B30" authorId="1" shapeId="0" xr:uid="{00000000-0006-0000-0400-000009000000}">
      <text>
        <r>
          <rPr>
            <b/>
            <sz val="8"/>
            <color indexed="81"/>
            <rFont val="Tahoma"/>
            <family val="2"/>
          </rPr>
          <t>Sample titles that fall under this line:</t>
        </r>
        <r>
          <rPr>
            <sz val="8"/>
            <color indexed="81"/>
            <rFont val="Tahoma"/>
            <family val="2"/>
          </rPr>
          <t xml:space="preserve">
 - Speech Therapists
 - Social Workers</t>
        </r>
      </text>
    </comment>
    <comment ref="D36" authorId="0" shapeId="0" xr:uid="{00000000-0006-0000-0400-00000A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B41" authorId="1" shapeId="0" xr:uid="{00000000-0006-0000-0400-00000B000000}">
      <text>
        <r>
          <rPr>
            <b/>
            <sz val="8"/>
            <color indexed="81"/>
            <rFont val="Tahoma"/>
            <family val="2"/>
          </rPr>
          <t>Sample titles that fall under this line:</t>
        </r>
        <r>
          <rPr>
            <sz val="8"/>
            <color indexed="81"/>
            <rFont val="Tahoma"/>
            <family val="2"/>
          </rPr>
          <t xml:space="preserve">
Cafeteria
Other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hrubyda</author>
    <author>Flack, John</author>
    <author>flackjo</author>
  </authors>
  <commentList>
    <comment ref="B10" authorId="0" shapeId="0" xr:uid="{00000000-0006-0000-0500-000001000000}">
      <text>
        <r>
          <rPr>
            <b/>
            <sz val="9"/>
            <color indexed="81"/>
            <rFont val="Tahoma"/>
            <family val="2"/>
          </rPr>
          <t>Institute:</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I12" authorId="1" shapeId="0" xr:uid="{00000000-0006-0000-0500-000002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G17" authorId="0" shapeId="0" xr:uid="{00000000-0006-0000-0500-000003000000}">
      <text>
        <r>
          <rPr>
            <b/>
            <sz val="8"/>
            <color indexed="81"/>
            <rFont val="Tahoma"/>
            <family val="2"/>
          </rPr>
          <t xml:space="preserve">Institute:
</t>
        </r>
        <r>
          <rPr>
            <sz val="8"/>
            <color indexed="81"/>
            <rFont val="Tahoma"/>
            <family val="2"/>
          </rPr>
          <t>CURRENT YEAR PER PUPIL REVENUE RATE</t>
        </r>
      </text>
    </comment>
    <comment ref="I17" authorId="2" shapeId="0" xr:uid="{00000000-0006-0000-0500-000004000000}">
      <text>
        <r>
          <rPr>
            <b/>
            <sz val="9"/>
            <color indexed="81"/>
            <rFont val="Tahoma"/>
            <family val="2"/>
          </rPr>
          <t>NOTE:</t>
        </r>
        <r>
          <rPr>
            <sz val="9"/>
            <color indexed="81"/>
            <rFont val="Tahoma"/>
            <family val="2"/>
          </rPr>
          <t xml:space="preserve">
Default = 25% per Qtr
May be modified as appropriate.</t>
        </r>
      </text>
    </comment>
    <comment ref="E33" authorId="0" shapeId="0" xr:uid="{00000000-0006-0000-0500-000005000000}">
      <text>
        <r>
          <rPr>
            <b/>
            <sz val="8"/>
            <color indexed="81"/>
            <rFont val="Tahoma"/>
            <family val="2"/>
          </rPr>
          <t>Institute:</t>
        </r>
        <r>
          <rPr>
            <sz val="8"/>
            <color indexed="81"/>
            <rFont val="Tahoma"/>
            <family val="2"/>
          </rPr>
          <t xml:space="preserve">
All Districts after 15th highest enrolled district are combined under "ALL OTHER"</t>
        </r>
      </text>
    </comment>
    <comment ref="G33" authorId="0" shapeId="0" xr:uid="{00000000-0006-0000-0500-000006000000}">
      <text>
        <r>
          <rPr>
            <b/>
            <sz val="8"/>
            <color indexed="81"/>
            <rFont val="Tahoma"/>
            <family val="2"/>
          </rPr>
          <t>Institute:</t>
        </r>
        <r>
          <rPr>
            <sz val="8"/>
            <color indexed="81"/>
            <rFont val="Tahoma"/>
            <family val="2"/>
          </rPr>
          <t xml:space="preserve">
This figure is a weighted average of all other districts' rates under ALL OTHER</t>
        </r>
      </text>
    </comment>
    <comment ref="G70" authorId="0" shapeId="0" xr:uid="{00000000-0006-0000-0500-000007000000}">
      <text>
        <r>
          <rPr>
            <b/>
            <sz val="8"/>
            <color indexed="81"/>
            <rFont val="Tahoma"/>
            <family val="2"/>
          </rPr>
          <t>Institute:</t>
        </r>
        <r>
          <rPr>
            <sz val="8"/>
            <color indexed="81"/>
            <rFont val="Tahoma"/>
            <family val="2"/>
          </rPr>
          <t xml:space="preserve">
Figures represent the average of the Quarterly Budgeted/Revised Budgeted FTE count for each position.</t>
        </r>
      </text>
    </comment>
    <comment ref="D71" authorId="0" shapeId="0" xr:uid="{00000000-0006-0000-0500-000008000000}">
      <text>
        <r>
          <rPr>
            <b/>
            <sz val="8"/>
            <color indexed="81"/>
            <rFont val="Tahoma"/>
            <family val="2"/>
          </rPr>
          <t xml:space="preserve">Institute:
Sample titles that fall under this line:
 - </t>
        </r>
        <r>
          <rPr>
            <sz val="8"/>
            <color indexed="81"/>
            <rFont val="Tahoma"/>
            <family val="2"/>
          </rPr>
          <t>Head of School
 - Superintendant
 - School Leader
 - Executive Director
 - CEO</t>
        </r>
      </text>
    </comment>
    <comment ref="D72" authorId="0" shapeId="0" xr:uid="{00000000-0006-0000-0500-000009000000}">
      <text>
        <r>
          <rPr>
            <b/>
            <sz val="8"/>
            <color indexed="81"/>
            <rFont val="Tahoma"/>
            <family val="2"/>
          </rPr>
          <t xml:space="preserve">Institute:
Sample titles that fall under this line:
 - </t>
        </r>
        <r>
          <rPr>
            <sz val="8"/>
            <color indexed="81"/>
            <rFont val="Tahoma"/>
            <family val="2"/>
          </rPr>
          <t>Principal
 - Vice-Principal
 - Assistant Principal
 - Chief Academic Officer</t>
        </r>
      </text>
    </comment>
    <comment ref="D73" authorId="0" shapeId="0" xr:uid="{00000000-0006-0000-0500-00000A000000}">
      <text>
        <r>
          <rPr>
            <b/>
            <sz val="8"/>
            <color indexed="81"/>
            <rFont val="Tahoma"/>
            <family val="2"/>
          </rPr>
          <t xml:space="preserve">Institute: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D76" authorId="0" shapeId="0" xr:uid="{00000000-0006-0000-0500-00000B000000}">
      <text>
        <r>
          <rPr>
            <b/>
            <sz val="8"/>
            <color indexed="81"/>
            <rFont val="Tahoma"/>
            <family val="2"/>
          </rPr>
          <t>Institute:
Sample titles that fall under this line:</t>
        </r>
        <r>
          <rPr>
            <sz val="8"/>
            <color indexed="81"/>
            <rFont val="Tahoma"/>
            <family val="2"/>
          </rPr>
          <t xml:space="preserve">
 - Secretary
 - Receptionist
 - Attendance Clerk
 - Office Manager</t>
        </r>
      </text>
    </comment>
    <comment ref="D80" authorId="0" shapeId="0" xr:uid="{00000000-0006-0000-0500-00000C000000}">
      <text>
        <r>
          <rPr>
            <b/>
            <sz val="8"/>
            <color indexed="81"/>
            <rFont val="Tahoma"/>
            <family val="2"/>
          </rPr>
          <t>Institute:
Sample titles that fall under this line:</t>
        </r>
        <r>
          <rPr>
            <sz val="8"/>
            <color indexed="81"/>
            <rFont val="Tahoma"/>
            <family val="2"/>
          </rPr>
          <t xml:space="preserve">
Content/Subject Area Teachers:
   - ELA
   - Math
   - Social Studies
   - Science</t>
        </r>
      </text>
    </comment>
    <comment ref="D84" authorId="0" shapeId="0" xr:uid="{00000000-0006-0000-0500-00000D000000}">
      <text>
        <r>
          <rPr>
            <b/>
            <sz val="8"/>
            <color indexed="81"/>
            <rFont val="Tahoma"/>
            <family val="2"/>
          </rPr>
          <t>Institute:
Sample titles that fall under this line:</t>
        </r>
        <r>
          <rPr>
            <sz val="8"/>
            <color indexed="81"/>
            <rFont val="Tahoma"/>
            <family val="2"/>
          </rPr>
          <t xml:space="preserve">
 - ESL
 - Reading
 - Math and/or Literacy Specialists
 - Art
 - PE
 - Music
 - Foreign Languages
 - Photography
 - Ceramics</t>
        </r>
      </text>
    </comment>
    <comment ref="D86" authorId="0" shapeId="0" xr:uid="{00000000-0006-0000-0500-00000E000000}">
      <text>
        <r>
          <rPr>
            <b/>
            <sz val="8"/>
            <color indexed="81"/>
            <rFont val="Tahoma"/>
            <family val="2"/>
          </rPr>
          <t>Institute:
Sample titles that fall under this line:</t>
        </r>
        <r>
          <rPr>
            <sz val="8"/>
            <color indexed="81"/>
            <rFont val="Tahoma"/>
            <family val="2"/>
          </rPr>
          <t xml:space="preserve">
 - Speech Therapists
 - Social Workers</t>
        </r>
      </text>
    </comment>
    <comment ref="D95" authorId="0" shapeId="0" xr:uid="{00000000-0006-0000-0500-00000F000000}">
      <text>
        <r>
          <rPr>
            <b/>
            <sz val="8"/>
            <color indexed="81"/>
            <rFont val="Tahoma"/>
            <family val="2"/>
          </rPr>
          <t>Institute:</t>
        </r>
        <r>
          <rPr>
            <sz val="8"/>
            <color indexed="81"/>
            <rFont val="Tahoma"/>
            <family val="2"/>
          </rPr>
          <t xml:space="preserve">
Cafeteria
Other</t>
        </r>
      </text>
    </comment>
    <comment ref="D102" authorId="0" shapeId="0" xr:uid="{00000000-0006-0000-0500-000010000000}">
      <text>
        <r>
          <rPr>
            <b/>
            <sz val="8"/>
            <color indexed="81"/>
            <rFont val="Tahoma"/>
            <family val="2"/>
          </rPr>
          <t>Institute:</t>
        </r>
        <r>
          <rPr>
            <sz val="8"/>
            <color indexed="81"/>
            <rFont val="Tahoma"/>
            <family val="2"/>
          </rPr>
          <t xml:space="preserve">
Health and Dental
Social Security
Medicare
Unemployment
Other
</t>
        </r>
      </text>
    </comment>
    <comment ref="D117" authorId="0" shapeId="0" xr:uid="{00000000-0006-0000-0500-000011000000}">
      <text>
        <r>
          <rPr>
            <b/>
            <sz val="8"/>
            <color indexed="81"/>
            <rFont val="Tahoma"/>
            <family val="2"/>
          </rPr>
          <t xml:space="preserve">Institute: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D121" authorId="0" shapeId="0" xr:uid="{00000000-0006-0000-0500-000012000000}">
      <text>
        <r>
          <rPr>
            <b/>
            <sz val="8"/>
            <color indexed="81"/>
            <rFont val="Tahoma"/>
            <family val="2"/>
          </rPr>
          <t>Institute:</t>
        </r>
        <r>
          <rPr>
            <sz val="8"/>
            <color indexed="81"/>
            <rFont val="Tahoma"/>
            <family val="2"/>
          </rPr>
          <t xml:space="preserve">
Development
Conferences</t>
        </r>
      </text>
    </comment>
    <comment ref="D125" authorId="0" shapeId="0" xr:uid="{00000000-0006-0000-0500-000013000000}">
      <text>
        <r>
          <rPr>
            <b/>
            <sz val="8"/>
            <color indexed="81"/>
            <rFont val="Tahoma"/>
            <family val="2"/>
          </rPr>
          <t>Institute:</t>
        </r>
        <r>
          <rPr>
            <sz val="8"/>
            <color indexed="81"/>
            <rFont val="Tahoma"/>
            <family val="2"/>
          </rPr>
          <t xml:space="preserve">
Curriculum
</t>
        </r>
      </text>
    </comment>
    <comment ref="D126" authorId="0" shapeId="0" xr:uid="{00000000-0006-0000-0500-000014000000}">
      <text>
        <r>
          <rPr>
            <b/>
            <sz val="8"/>
            <color indexed="81"/>
            <rFont val="Tahoma"/>
            <family val="2"/>
          </rPr>
          <t>Institute:</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D128" authorId="0" shapeId="0" xr:uid="{00000000-0006-0000-0500-000015000000}">
      <text>
        <r>
          <rPr>
            <b/>
            <sz val="8"/>
            <color indexed="81"/>
            <rFont val="Tahoma"/>
            <family val="2"/>
          </rPr>
          <t>Institute:</t>
        </r>
        <r>
          <rPr>
            <sz val="8"/>
            <color indexed="81"/>
            <rFont val="Tahoma"/>
            <family val="2"/>
          </rPr>
          <t xml:space="preserve">
Hardware
Software
Internet
Wiring
Other</t>
        </r>
      </text>
    </comment>
    <comment ref="D132" authorId="0" shapeId="0" xr:uid="{00000000-0006-0000-0500-000016000000}">
      <text>
        <r>
          <rPr>
            <b/>
            <sz val="8"/>
            <color indexed="81"/>
            <rFont val="Tahoma"/>
            <family val="2"/>
          </rPr>
          <t>Institute:</t>
        </r>
        <r>
          <rPr>
            <sz val="8"/>
            <color indexed="81"/>
            <rFont val="Tahoma"/>
            <family val="2"/>
          </rPr>
          <t xml:space="preserve">
Uniforms
Special Events</t>
        </r>
      </text>
    </comment>
    <comment ref="D133" authorId="0" shapeId="0" xr:uid="{00000000-0006-0000-0500-000017000000}">
      <text>
        <r>
          <rPr>
            <b/>
            <sz val="8"/>
            <color indexed="81"/>
            <rFont val="Tahoma"/>
            <family val="2"/>
          </rPr>
          <t>Institute:</t>
        </r>
        <r>
          <rPr>
            <sz val="8"/>
            <color indexed="81"/>
            <rFont val="Tahoma"/>
            <family val="2"/>
          </rPr>
          <t xml:space="preserve">
Printing
Postage
Copying
All Other</t>
        </r>
      </text>
    </comment>
    <comment ref="D134" authorId="0" shapeId="0" xr:uid="{00000000-0006-0000-0500-000018000000}">
      <text>
        <r>
          <rPr>
            <b/>
            <sz val="8"/>
            <color indexed="81"/>
            <rFont val="Tahoma"/>
            <family val="2"/>
          </rPr>
          <t>Institute:</t>
        </r>
        <r>
          <rPr>
            <sz val="8"/>
            <color indexed="81"/>
            <rFont val="Tahoma"/>
            <family val="2"/>
          </rPr>
          <t xml:space="preserve">
Conferences</t>
        </r>
      </text>
    </comment>
    <comment ref="D140" authorId="0" shapeId="0" xr:uid="{00000000-0006-0000-0500-000019000000}">
      <text>
        <r>
          <rPr>
            <b/>
            <sz val="8"/>
            <color indexed="81"/>
            <rFont val="Tahoma"/>
            <family val="2"/>
          </rPr>
          <t>Institute:</t>
        </r>
        <r>
          <rPr>
            <sz val="8"/>
            <color indexed="81"/>
            <rFont val="Tahoma"/>
            <family val="2"/>
          </rPr>
          <t xml:space="preserve">
Interest 
Bank Charges
Bad Debt
Misc. Fees (i.e. Licensing)
Dues &amp; Membership
All Other 
</t>
        </r>
        <r>
          <rPr>
            <b/>
            <sz val="8"/>
            <color indexed="81"/>
            <rFont val="Tahoma"/>
            <family val="2"/>
          </rPr>
          <t>(If any questions contact Institute)</t>
        </r>
      </text>
    </comment>
    <comment ref="D146" authorId="2" shapeId="0" xr:uid="{00000000-0006-0000-0500-00001A000000}">
      <text>
        <r>
          <rPr>
            <b/>
            <sz val="9"/>
            <color indexed="81"/>
            <rFont val="Tahoma"/>
            <family val="2"/>
          </rPr>
          <t>Institute:</t>
        </r>
        <r>
          <rPr>
            <sz val="9"/>
            <color indexed="81"/>
            <rFont val="Tahoma"/>
            <family val="2"/>
          </rPr>
          <t xml:space="preserve">
Include any Facility Rental/Leasing/Financing costs.</t>
        </r>
      </text>
    </comment>
    <comment ref="D147" authorId="0" shapeId="0" xr:uid="{00000000-0006-0000-0500-00001B000000}">
      <text>
        <r>
          <rPr>
            <b/>
            <sz val="8"/>
            <color indexed="81"/>
            <rFont val="Tahoma"/>
            <family val="2"/>
          </rPr>
          <t>Institute:</t>
        </r>
        <r>
          <rPr>
            <sz val="8"/>
            <color indexed="81"/>
            <rFont val="Tahoma"/>
            <family val="2"/>
          </rPr>
          <t xml:space="preserve">
Facility
Equipment</t>
        </r>
      </text>
    </comment>
    <comment ref="D148" authorId="0" shapeId="0" xr:uid="{00000000-0006-0000-0500-00001C000000}">
      <text>
        <r>
          <rPr>
            <b/>
            <sz val="8"/>
            <color indexed="81"/>
            <rFont val="Tahoma"/>
            <family val="2"/>
          </rPr>
          <t>Institute:</t>
        </r>
        <r>
          <rPr>
            <sz val="8"/>
            <color indexed="81"/>
            <rFont val="Tahoma"/>
            <family val="2"/>
          </rPr>
          <t xml:space="preserve">
Facility Related
</t>
        </r>
        <r>
          <rPr>
            <b/>
            <sz val="8"/>
            <color indexed="81"/>
            <rFont val="Tahoma"/>
            <family val="2"/>
          </rPr>
          <t>* Includes the Purchase or Lease of  any equipment</t>
        </r>
      </text>
    </comment>
    <comment ref="D150" authorId="0" shapeId="0" xr:uid="{00000000-0006-0000-0500-00001D000000}">
      <text>
        <r>
          <rPr>
            <b/>
            <sz val="8"/>
            <color indexed="81"/>
            <rFont val="Tahoma"/>
            <family val="2"/>
          </rPr>
          <t>Institute:</t>
        </r>
        <r>
          <rPr>
            <sz val="8"/>
            <color indexed="81"/>
            <rFont val="Tahoma"/>
            <family val="2"/>
          </rPr>
          <t xml:space="preserve">
Electric
Gas
Other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Flack, John</author>
    <author>hrubyda</author>
  </authors>
  <commentList>
    <comment ref="E6" authorId="0" shapeId="0" xr:uid="{00000000-0006-0000-0600-000001000000}">
      <text>
        <r>
          <rPr>
            <b/>
            <sz val="9"/>
            <color indexed="81"/>
            <rFont val="Tahoma"/>
            <family val="2"/>
          </rPr>
          <t>Institute:</t>
        </r>
        <r>
          <rPr>
            <sz val="9"/>
            <color indexed="81"/>
            <rFont val="Tahoma"/>
            <family val="2"/>
          </rPr>
          <t xml:space="preserve">
"Prior Year" column may </t>
        </r>
        <r>
          <rPr>
            <u/>
            <sz val="9"/>
            <color indexed="81"/>
            <rFont val="Tahoma"/>
            <family val="2"/>
          </rPr>
          <t>initially</t>
        </r>
        <r>
          <rPr>
            <sz val="9"/>
            <color indexed="81"/>
            <rFont val="Tahoma"/>
            <family val="2"/>
          </rPr>
          <t xml:space="preserve"> be completed based upon preliminary data, and </t>
        </r>
        <r>
          <rPr>
            <u/>
            <sz val="9"/>
            <color indexed="81"/>
            <rFont val="Tahoma"/>
            <family val="2"/>
          </rPr>
          <t>adjusted</t>
        </r>
        <r>
          <rPr>
            <sz val="9"/>
            <color indexed="81"/>
            <rFont val="Tahoma"/>
            <family val="2"/>
          </rPr>
          <t xml:space="preserve"> with Annual Audited data when the Quarter 2 Actuals are being submitted.</t>
        </r>
      </text>
    </comment>
    <comment ref="C12" authorId="1" shapeId="0" xr:uid="{00000000-0006-0000-0600-000002000000}">
      <text>
        <r>
          <rPr>
            <b/>
            <sz val="8"/>
            <color indexed="81"/>
            <rFont val="Tahoma"/>
            <family val="2"/>
          </rPr>
          <t>Institute:</t>
        </r>
        <r>
          <rPr>
            <sz val="8"/>
            <color indexed="81"/>
            <rFont val="Tahoma"/>
            <family val="2"/>
          </rPr>
          <t xml:space="preserve">
State, Federal or other grants due to the school.</t>
        </r>
      </text>
    </comment>
    <comment ref="C20" authorId="1" shapeId="0" xr:uid="{00000000-0006-0000-0600-000003000000}">
      <text>
        <r>
          <rPr>
            <b/>
            <sz val="8"/>
            <color indexed="81"/>
            <rFont val="Tahoma"/>
            <family val="2"/>
          </rPr>
          <t>Institute:</t>
        </r>
        <r>
          <rPr>
            <sz val="8"/>
            <color indexed="81"/>
            <rFont val="Tahoma"/>
            <family val="2"/>
          </rPr>
          <t xml:space="preserve">
Operating and Capital Reserves, Deferred Costs, Investments, Due from Affiliate/CMO, Fixed Assets, Right of Use Lease Asset</t>
        </r>
      </text>
    </comment>
    <comment ref="C33" authorId="1" shapeId="0" xr:uid="{00000000-0006-0000-0600-000004000000}">
      <text>
        <r>
          <rPr>
            <b/>
            <sz val="8"/>
            <color indexed="81"/>
            <rFont val="Tahoma"/>
            <family val="2"/>
          </rPr>
          <t>Institute:</t>
        </r>
        <r>
          <rPr>
            <sz val="8"/>
            <color indexed="81"/>
            <rFont val="Tahoma"/>
            <family val="2"/>
          </rPr>
          <t xml:space="preserve">
Land, Building, Loan(s) related</t>
        </r>
      </text>
    </comment>
    <comment ref="C35" authorId="1" shapeId="0" xr:uid="{00000000-0006-0000-0600-000005000000}">
      <text>
        <r>
          <rPr>
            <b/>
            <sz val="8"/>
            <color indexed="81"/>
            <rFont val="Tahoma"/>
            <family val="2"/>
          </rPr>
          <t>Institute:</t>
        </r>
        <r>
          <rPr>
            <sz val="8"/>
            <color indexed="81"/>
            <rFont val="Tahoma"/>
            <family val="2"/>
          </rPr>
          <t xml:space="preserve">
Obligations under, Advanced Billing, Due to Affiliate/CMO,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B10" authorId="0" shapeId="0" xr:uid="{00000000-0006-0000-0700-000001000000}">
      <text>
        <r>
          <rPr>
            <b/>
            <sz val="9"/>
            <color indexed="81"/>
            <rFont val="Tahoma"/>
            <family val="2"/>
          </rPr>
          <t>Institute:</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G17" authorId="0" shapeId="0" xr:uid="{00000000-0006-0000-0700-000002000000}">
      <text>
        <r>
          <rPr>
            <b/>
            <sz val="8"/>
            <color indexed="81"/>
            <rFont val="Tahoma"/>
            <family val="2"/>
          </rPr>
          <t xml:space="preserve">Institute:
</t>
        </r>
        <r>
          <rPr>
            <sz val="8"/>
            <color indexed="81"/>
            <rFont val="Tahoma"/>
            <family val="2"/>
          </rPr>
          <t>CURRENT YEAR PER PUPIL REVENUE RATE</t>
        </r>
      </text>
    </comment>
    <comment ref="E33" authorId="0" shapeId="0" xr:uid="{00000000-0006-0000-0700-000003000000}">
      <text>
        <r>
          <rPr>
            <b/>
            <sz val="8"/>
            <color indexed="81"/>
            <rFont val="Tahoma"/>
            <family val="2"/>
          </rPr>
          <t>Institute:</t>
        </r>
        <r>
          <rPr>
            <sz val="8"/>
            <color indexed="81"/>
            <rFont val="Tahoma"/>
            <family val="2"/>
          </rPr>
          <t xml:space="preserve">
All Districts after 15th highest enrolled  district go under OTHER</t>
        </r>
      </text>
    </comment>
    <comment ref="G33" authorId="0" shapeId="0" xr:uid="{00000000-0006-0000-0700-000004000000}">
      <text>
        <r>
          <rPr>
            <b/>
            <sz val="8"/>
            <color indexed="81"/>
            <rFont val="Tahoma"/>
            <family val="2"/>
          </rPr>
          <t>Institute:</t>
        </r>
        <r>
          <rPr>
            <sz val="8"/>
            <color indexed="81"/>
            <rFont val="Tahoma"/>
            <family val="2"/>
          </rPr>
          <t xml:space="preserve">
This figure is a weighted average of all other districts' rates under ALL OTHER</t>
        </r>
      </text>
    </comment>
    <comment ref="G70" authorId="0" shapeId="0" xr:uid="{00000000-0006-0000-0700-000005000000}">
      <text>
        <r>
          <rPr>
            <b/>
            <sz val="8"/>
            <color indexed="81"/>
            <rFont val="Tahoma"/>
            <family val="2"/>
          </rPr>
          <t>Institute:</t>
        </r>
        <r>
          <rPr>
            <sz val="8"/>
            <color indexed="81"/>
            <rFont val="Tahoma"/>
            <family val="2"/>
          </rPr>
          <t xml:space="preserve">
Enter FTE Positions each quarter on tab:
</t>
        </r>
        <r>
          <rPr>
            <b/>
            <sz val="8"/>
            <color indexed="81"/>
            <rFont val="Tahoma"/>
            <family val="2"/>
          </rPr>
          <t xml:space="preserve">1.2) Staffing Plan
</t>
        </r>
        <r>
          <rPr>
            <sz val="8"/>
            <color indexed="81"/>
            <rFont val="Tahoma"/>
            <family val="2"/>
          </rPr>
          <t>(Range O13:R41)</t>
        </r>
      </text>
    </comment>
    <comment ref="D71" authorId="0" shapeId="0" xr:uid="{00000000-0006-0000-0700-000006000000}">
      <text>
        <r>
          <rPr>
            <b/>
            <sz val="8"/>
            <color indexed="81"/>
            <rFont val="Tahoma"/>
            <family val="2"/>
          </rPr>
          <t xml:space="preserve">Institute:
Sample titles that fall under this line:
 - </t>
        </r>
        <r>
          <rPr>
            <sz val="8"/>
            <color indexed="81"/>
            <rFont val="Tahoma"/>
            <family val="2"/>
          </rPr>
          <t>Head of School
 - Superintendant
 - School Leader
 - Executive Director
 - CEO</t>
        </r>
      </text>
    </comment>
    <comment ref="D72" authorId="0" shapeId="0" xr:uid="{00000000-0006-0000-0700-000007000000}">
      <text>
        <r>
          <rPr>
            <b/>
            <sz val="8"/>
            <color indexed="81"/>
            <rFont val="Tahoma"/>
            <family val="2"/>
          </rPr>
          <t xml:space="preserve">Institute:
Sample titles that fall under this line:
 - </t>
        </r>
        <r>
          <rPr>
            <sz val="8"/>
            <color indexed="81"/>
            <rFont val="Tahoma"/>
            <family val="2"/>
          </rPr>
          <t>Principal
 - Vice-Principal
 - Assistant Principal
 - Chief Academic Officer</t>
        </r>
      </text>
    </comment>
    <comment ref="D73" authorId="0" shapeId="0" xr:uid="{00000000-0006-0000-0700-000008000000}">
      <text>
        <r>
          <rPr>
            <b/>
            <sz val="8"/>
            <color indexed="81"/>
            <rFont val="Tahoma"/>
            <family val="2"/>
          </rPr>
          <t xml:space="preserve">Institute: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D76" authorId="0" shapeId="0" xr:uid="{00000000-0006-0000-0700-000009000000}">
      <text>
        <r>
          <rPr>
            <b/>
            <sz val="8"/>
            <color indexed="81"/>
            <rFont val="Tahoma"/>
            <family val="2"/>
          </rPr>
          <t>Institute:
Sample titles that fall under this line:</t>
        </r>
        <r>
          <rPr>
            <sz val="8"/>
            <color indexed="81"/>
            <rFont val="Tahoma"/>
            <family val="2"/>
          </rPr>
          <t xml:space="preserve">
 - Secretary
 - Receptionist
 - Attendance Clerk
 - Office Manager</t>
        </r>
      </text>
    </comment>
    <comment ref="D80" authorId="0" shapeId="0" xr:uid="{00000000-0006-0000-0700-00000A000000}">
      <text>
        <r>
          <rPr>
            <b/>
            <sz val="8"/>
            <color indexed="81"/>
            <rFont val="Tahoma"/>
            <family val="2"/>
          </rPr>
          <t>Institute:
Sample titles that fall under this line:</t>
        </r>
        <r>
          <rPr>
            <sz val="8"/>
            <color indexed="81"/>
            <rFont val="Tahoma"/>
            <family val="2"/>
          </rPr>
          <t xml:space="preserve">
Content/Subject Area Teachers:
   - ELA
   - Math
   - Social Studies
   - Science</t>
        </r>
      </text>
    </comment>
    <comment ref="D84" authorId="0" shapeId="0" xr:uid="{00000000-0006-0000-0700-00000B000000}">
      <text>
        <r>
          <rPr>
            <b/>
            <sz val="8"/>
            <color indexed="81"/>
            <rFont val="Tahoma"/>
            <family val="2"/>
          </rPr>
          <t>Institute:
Sample titles that fall under this line:</t>
        </r>
        <r>
          <rPr>
            <sz val="8"/>
            <color indexed="81"/>
            <rFont val="Tahoma"/>
            <family val="2"/>
          </rPr>
          <t xml:space="preserve">
 - ESL
 - Reading
 - Math and/or Literacy Specialists
 - Art
 - PE
 - Music
 - Foreign Languages
 - Photography
 - Ceramics</t>
        </r>
      </text>
    </comment>
    <comment ref="D86" authorId="0" shapeId="0" xr:uid="{00000000-0006-0000-0700-00000C000000}">
      <text>
        <r>
          <rPr>
            <b/>
            <sz val="8"/>
            <color indexed="81"/>
            <rFont val="Tahoma"/>
            <family val="2"/>
          </rPr>
          <t>Institute:
Sample titles that fall under this line:</t>
        </r>
        <r>
          <rPr>
            <sz val="8"/>
            <color indexed="81"/>
            <rFont val="Tahoma"/>
            <family val="2"/>
          </rPr>
          <t xml:space="preserve">
 - Speech Therapists
 - Social Workers</t>
        </r>
      </text>
    </comment>
    <comment ref="D95" authorId="0" shapeId="0" xr:uid="{00000000-0006-0000-0700-00000D000000}">
      <text>
        <r>
          <rPr>
            <b/>
            <sz val="8"/>
            <color indexed="81"/>
            <rFont val="Tahoma"/>
            <family val="2"/>
          </rPr>
          <t>Institute:</t>
        </r>
        <r>
          <rPr>
            <sz val="8"/>
            <color indexed="81"/>
            <rFont val="Tahoma"/>
            <family val="2"/>
          </rPr>
          <t xml:space="preserve">
Cafeteria
Other</t>
        </r>
      </text>
    </comment>
    <comment ref="D102" authorId="0" shapeId="0" xr:uid="{00000000-0006-0000-0700-00000E000000}">
      <text>
        <r>
          <rPr>
            <b/>
            <sz val="8"/>
            <color indexed="81"/>
            <rFont val="Tahoma"/>
            <family val="2"/>
          </rPr>
          <t>Institute:</t>
        </r>
        <r>
          <rPr>
            <sz val="8"/>
            <color indexed="81"/>
            <rFont val="Tahoma"/>
            <family val="2"/>
          </rPr>
          <t xml:space="preserve">
Health and Dental
Social Security
Medicare
Unemployment
Other
</t>
        </r>
      </text>
    </comment>
    <comment ref="D117" authorId="0" shapeId="0" xr:uid="{00000000-0006-0000-0700-00000F000000}">
      <text>
        <r>
          <rPr>
            <b/>
            <sz val="8"/>
            <color indexed="81"/>
            <rFont val="Tahoma"/>
            <family val="2"/>
          </rPr>
          <t xml:space="preserve">Institute: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D121" authorId="0" shapeId="0" xr:uid="{00000000-0006-0000-0700-000010000000}">
      <text>
        <r>
          <rPr>
            <b/>
            <sz val="8"/>
            <color indexed="81"/>
            <rFont val="Tahoma"/>
            <family val="2"/>
          </rPr>
          <t>Institute:</t>
        </r>
        <r>
          <rPr>
            <sz val="8"/>
            <color indexed="81"/>
            <rFont val="Tahoma"/>
            <family val="2"/>
          </rPr>
          <t xml:space="preserve">
Development
Conferences</t>
        </r>
      </text>
    </comment>
    <comment ref="D125" authorId="0" shapeId="0" xr:uid="{00000000-0006-0000-0700-000011000000}">
      <text>
        <r>
          <rPr>
            <b/>
            <sz val="8"/>
            <color indexed="81"/>
            <rFont val="Tahoma"/>
            <family val="2"/>
          </rPr>
          <t>Institute:</t>
        </r>
        <r>
          <rPr>
            <sz val="8"/>
            <color indexed="81"/>
            <rFont val="Tahoma"/>
            <family val="2"/>
          </rPr>
          <t xml:space="preserve">
Curriculum
</t>
        </r>
      </text>
    </comment>
    <comment ref="D126" authorId="0" shapeId="0" xr:uid="{00000000-0006-0000-0700-000012000000}">
      <text>
        <r>
          <rPr>
            <b/>
            <sz val="8"/>
            <color indexed="81"/>
            <rFont val="Tahoma"/>
            <family val="2"/>
          </rPr>
          <t>Institute:</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D128" authorId="0" shapeId="0" xr:uid="{00000000-0006-0000-0700-000013000000}">
      <text>
        <r>
          <rPr>
            <b/>
            <sz val="8"/>
            <color indexed="81"/>
            <rFont val="Tahoma"/>
            <family val="2"/>
          </rPr>
          <t>Institute:</t>
        </r>
        <r>
          <rPr>
            <sz val="8"/>
            <color indexed="81"/>
            <rFont val="Tahoma"/>
            <family val="2"/>
          </rPr>
          <t xml:space="preserve">
Hardware
Software
Internet
Wiring
Other</t>
        </r>
      </text>
    </comment>
    <comment ref="D132" authorId="0" shapeId="0" xr:uid="{00000000-0006-0000-0700-000014000000}">
      <text>
        <r>
          <rPr>
            <b/>
            <sz val="8"/>
            <color indexed="81"/>
            <rFont val="Tahoma"/>
            <family val="2"/>
          </rPr>
          <t>Institute:</t>
        </r>
        <r>
          <rPr>
            <sz val="8"/>
            <color indexed="81"/>
            <rFont val="Tahoma"/>
            <family val="2"/>
          </rPr>
          <t xml:space="preserve">
Uniforms
Special Events</t>
        </r>
      </text>
    </comment>
    <comment ref="D133" authorId="0" shapeId="0" xr:uid="{00000000-0006-0000-0700-000015000000}">
      <text>
        <r>
          <rPr>
            <b/>
            <sz val="8"/>
            <color indexed="81"/>
            <rFont val="Tahoma"/>
            <family val="2"/>
          </rPr>
          <t>Institute:</t>
        </r>
        <r>
          <rPr>
            <sz val="8"/>
            <color indexed="81"/>
            <rFont val="Tahoma"/>
            <family val="2"/>
          </rPr>
          <t xml:space="preserve">
Printing
Postage
Copying
All Other</t>
        </r>
      </text>
    </comment>
    <comment ref="D134" authorId="0" shapeId="0" xr:uid="{00000000-0006-0000-0700-000016000000}">
      <text>
        <r>
          <rPr>
            <b/>
            <sz val="8"/>
            <color indexed="81"/>
            <rFont val="Tahoma"/>
            <family val="2"/>
          </rPr>
          <t>Institute:</t>
        </r>
        <r>
          <rPr>
            <sz val="8"/>
            <color indexed="81"/>
            <rFont val="Tahoma"/>
            <family val="2"/>
          </rPr>
          <t xml:space="preserve">
Conferences</t>
        </r>
      </text>
    </comment>
    <comment ref="D140" authorId="0" shapeId="0" xr:uid="{00000000-0006-0000-0700-000017000000}">
      <text>
        <r>
          <rPr>
            <b/>
            <sz val="8"/>
            <color indexed="81"/>
            <rFont val="Tahoma"/>
            <family val="2"/>
          </rPr>
          <t>Institute:</t>
        </r>
        <r>
          <rPr>
            <sz val="8"/>
            <color indexed="81"/>
            <rFont val="Tahoma"/>
            <family val="2"/>
          </rPr>
          <t xml:space="preserve">
Interest 
Bank Charges
Bad Debt
Misc. Fees (i.e. Licensing)
Dues &amp; Membership
All Other 
</t>
        </r>
        <r>
          <rPr>
            <b/>
            <sz val="8"/>
            <color indexed="81"/>
            <rFont val="Tahoma"/>
            <family val="2"/>
          </rPr>
          <t>(If any questions contact CSI)</t>
        </r>
      </text>
    </comment>
    <comment ref="D147" authorId="0" shapeId="0" xr:uid="{00000000-0006-0000-0700-000018000000}">
      <text>
        <r>
          <rPr>
            <b/>
            <sz val="9"/>
            <color indexed="81"/>
            <rFont val="Tahoma"/>
            <family val="2"/>
          </rPr>
          <t xml:space="preserve">Institute:
</t>
        </r>
        <r>
          <rPr>
            <sz val="9"/>
            <color indexed="81"/>
            <rFont val="Tahoma"/>
            <family val="2"/>
          </rPr>
          <t>Include any Facility Rental/Leasing/Financing costs.</t>
        </r>
      </text>
    </comment>
    <comment ref="D148" authorId="0" shapeId="0" xr:uid="{00000000-0006-0000-0700-000019000000}">
      <text>
        <r>
          <rPr>
            <b/>
            <sz val="8"/>
            <color indexed="81"/>
            <rFont val="Tahoma"/>
            <family val="2"/>
          </rPr>
          <t>Institute:</t>
        </r>
        <r>
          <rPr>
            <sz val="8"/>
            <color indexed="81"/>
            <rFont val="Tahoma"/>
            <family val="2"/>
          </rPr>
          <t xml:space="preserve">
Facility Related
</t>
        </r>
        <r>
          <rPr>
            <b/>
            <sz val="8"/>
            <color indexed="81"/>
            <rFont val="Tahoma"/>
            <family val="2"/>
          </rPr>
          <t>* Includes the Purchase or Lease of  any equipment</t>
        </r>
      </text>
    </comment>
    <comment ref="D150" authorId="0" shapeId="0" xr:uid="{00000000-0006-0000-0700-00001A000000}">
      <text>
        <r>
          <rPr>
            <b/>
            <sz val="8"/>
            <color indexed="81"/>
            <rFont val="Tahoma"/>
            <family val="2"/>
          </rPr>
          <t>Institute:</t>
        </r>
        <r>
          <rPr>
            <sz val="8"/>
            <color indexed="81"/>
            <rFont val="Tahoma"/>
            <family val="2"/>
          </rPr>
          <t xml:space="preserve">
Electric
Gas
Other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flackjo</author>
    <author>Flack, John</author>
  </authors>
  <commentList>
    <comment ref="C808" authorId="0" shapeId="0" xr:uid="{00000000-0006-0000-0900-000001000000}">
      <text>
        <r>
          <rPr>
            <sz val="9"/>
            <color indexed="81"/>
            <rFont val="Tahoma"/>
            <family val="2"/>
          </rPr>
          <t>2009 = 2009-10</t>
        </r>
      </text>
    </comment>
    <comment ref="D808" authorId="0" shapeId="0" xr:uid="{00000000-0006-0000-0900-000002000000}">
      <text>
        <r>
          <rPr>
            <sz val="9"/>
            <color indexed="81"/>
            <rFont val="Tahoma"/>
            <family val="2"/>
          </rPr>
          <t xml:space="preserve">2016 = 2015-16
</t>
        </r>
      </text>
    </comment>
    <comment ref="F867" authorId="1" shapeId="0" xr:uid="{BFEFC6FA-F5BD-4E20-AE37-C2CB553CB8E0}">
      <text>
        <r>
          <rPr>
            <b/>
            <sz val="9"/>
            <color indexed="81"/>
            <rFont val="Tahoma"/>
            <family val="2"/>
          </rPr>
          <t>Flack, John:</t>
        </r>
        <r>
          <rPr>
            <sz val="9"/>
            <color indexed="81"/>
            <rFont val="Tahoma"/>
            <family val="2"/>
          </rPr>
          <t xml:space="preserve">
The "Surviving" Ed Corp will not open until 2020-21.
</t>
        </r>
      </text>
    </comment>
    <comment ref="D893" authorId="1" shapeId="0" xr:uid="{6869A357-8786-4BB7-A706-5D81F2C6D871}">
      <text>
        <r>
          <rPr>
            <b/>
            <sz val="9"/>
            <color indexed="81"/>
            <rFont val="Tahoma"/>
            <family val="2"/>
          </rPr>
          <t>Flack, John:</t>
        </r>
        <r>
          <rPr>
            <sz val="9"/>
            <color indexed="81"/>
            <rFont val="Tahoma"/>
            <family val="2"/>
          </rPr>
          <t xml:space="preserve">
2015 (was "mini-merged"  for just 1 year with with Excellence Charter Schools (code 505)
</t>
        </r>
      </text>
    </comment>
    <comment ref="E893" authorId="0" shapeId="0" xr:uid="{571D6A73-7318-4515-BE5F-2D9B96F0C04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D894" authorId="1" shapeId="0" xr:uid="{A18D60A0-63D2-444C-A7E6-901428E77B45}">
      <text>
        <r>
          <rPr>
            <b/>
            <sz val="9"/>
            <color indexed="81"/>
            <rFont val="Tahoma"/>
            <family val="2"/>
          </rPr>
          <t>Flack, John:</t>
        </r>
        <r>
          <rPr>
            <sz val="9"/>
            <color indexed="81"/>
            <rFont val="Tahoma"/>
            <family val="2"/>
          </rPr>
          <t xml:space="preserve">
2015 (was "mini-merged"  for just 1 year with with Excellence Charter Schools (code 505)
</t>
        </r>
      </text>
    </comment>
    <comment ref="E894" authorId="0" shapeId="0" xr:uid="{413259CF-5C06-4E99-B975-0D5C911C0701}">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<sst xmlns="http://schemas.openxmlformats.org/spreadsheetml/2006/main" count="2439" uniqueCount="2063">
  <si>
    <t>Total Expenses</t>
  </si>
  <si>
    <t>Board Expenses</t>
  </si>
  <si>
    <t>Field Trips</t>
  </si>
  <si>
    <t>Insurance</t>
  </si>
  <si>
    <t>Janitorial</t>
  </si>
  <si>
    <t>Legal</t>
  </si>
  <si>
    <t>Office Expense</t>
  </si>
  <si>
    <t>Security</t>
  </si>
  <si>
    <t>Staff Recruitment</t>
  </si>
  <si>
    <t>Utilities</t>
  </si>
  <si>
    <t>Substitute Teachers</t>
  </si>
  <si>
    <t>Teaching Assistants</t>
  </si>
  <si>
    <t>Specialty Teachers</t>
  </si>
  <si>
    <t>Aides</t>
  </si>
  <si>
    <t>Payroll Taxes</t>
  </si>
  <si>
    <t>Nurse Services</t>
  </si>
  <si>
    <t>Payroll Services</t>
  </si>
  <si>
    <t>Special Ed Services</t>
  </si>
  <si>
    <t>Staff Development</t>
  </si>
  <si>
    <t>Transportation (student)</t>
  </si>
  <si>
    <t>No. of Positions</t>
  </si>
  <si>
    <t>Per Pupil Revenue</t>
  </si>
  <si>
    <t>Net Income</t>
  </si>
  <si>
    <t>Total Revenue</t>
  </si>
  <si>
    <t>REVENUE</t>
  </si>
  <si>
    <t>REVENUES FROM STATE SOURCES</t>
  </si>
  <si>
    <t>Special Education Revenue</t>
  </si>
  <si>
    <t>Grants</t>
  </si>
  <si>
    <t>Stimulus</t>
  </si>
  <si>
    <t>Other</t>
  </si>
  <si>
    <t>TOTAL REVENUE FROM STATE SOURCES</t>
  </si>
  <si>
    <t>REVENUE FROM FEDERAL FUNDING</t>
  </si>
  <si>
    <t>IDEA Special Needs</t>
  </si>
  <si>
    <t>Title I</t>
  </si>
  <si>
    <t>Title Funding - Other</t>
  </si>
  <si>
    <t>School Food Service (Free Lunch)</t>
  </si>
  <si>
    <t>Charter School Program (CSP) Planning &amp; Implementation</t>
  </si>
  <si>
    <t xml:space="preserve">Other </t>
  </si>
  <si>
    <t>TOTAL REVENUE FROM FEDERAL SOURCES</t>
  </si>
  <si>
    <t>LOCAL and OTHER REVENUE</t>
  </si>
  <si>
    <t>Contributions and Donations</t>
  </si>
  <si>
    <t>Fundraising</t>
  </si>
  <si>
    <t>Erate Reimbursement</t>
  </si>
  <si>
    <t>Earnings on Investments</t>
  </si>
  <si>
    <t>Interest Income</t>
  </si>
  <si>
    <t>Food Service (Income from meals)</t>
  </si>
  <si>
    <t>Text Book</t>
  </si>
  <si>
    <t>OTHER</t>
  </si>
  <si>
    <t>TOTAL REVENUE FROM LOCAL and OTHER SOURCES</t>
  </si>
  <si>
    <t xml:space="preserve">TOTAL REVENUE </t>
  </si>
  <si>
    <t>EXPENSES</t>
  </si>
  <si>
    <t>Teachers - Regular</t>
  </si>
  <si>
    <t>Teachers - SPED</t>
  </si>
  <si>
    <t>Technology</t>
  </si>
  <si>
    <t xml:space="preserve">Repairs &amp; Maintenance </t>
  </si>
  <si>
    <t>TOTAL EXPENSES</t>
  </si>
  <si>
    <t>Equipment / Furniture</t>
  </si>
  <si>
    <t>Food Service / School Lunch</t>
  </si>
  <si>
    <t>Retirement / Pension</t>
  </si>
  <si>
    <t>Student Recruitment / Marketing</t>
  </si>
  <si>
    <t>Student Testing &amp; Assessment</t>
  </si>
  <si>
    <t>Travel (Staff)</t>
  </si>
  <si>
    <t xml:space="preserve">Telephone </t>
  </si>
  <si>
    <t>Student Services - other</t>
  </si>
  <si>
    <t>Special Ed Supplies &amp; Materials</t>
  </si>
  <si>
    <t xml:space="preserve">Accounting / Audit </t>
  </si>
  <si>
    <t>Management Company Fee</t>
  </si>
  <si>
    <t>Other Purchased / Professional / Consulting</t>
  </si>
  <si>
    <t>Titlement Services (i.e. Title I)</t>
  </si>
  <si>
    <t>Fringe / Employee Benefits</t>
  </si>
  <si>
    <t>Textbooks / Workbooks</t>
  </si>
  <si>
    <t>Classroom / Teaching Supplies &amp; Materials</t>
  </si>
  <si>
    <t>Supplies &amp; Materials other</t>
  </si>
  <si>
    <t>Therapists &amp; Counselors</t>
  </si>
  <si>
    <t>School Meals / Lunch</t>
  </si>
  <si>
    <t>TOTAL ADMINISTRATIVE STAFF</t>
  </si>
  <si>
    <t>ADMINISTRATIVE STAFF PERSONNEL COSTS</t>
  </si>
  <si>
    <t>INSTRUCTIONAL PERSONNEL COSTS</t>
  </si>
  <si>
    <t>TOTAL INSTRUCTIONAL</t>
  </si>
  <si>
    <t>NON-INSTRUCTIONAL PERSONNEL COSTS</t>
  </si>
  <si>
    <t>TOTAL NON-INSTRUCTIONAL</t>
  </si>
  <si>
    <t>SUBTOTAL PERSONNEL SERVICE COSTS</t>
  </si>
  <si>
    <t>PAYROLL TAXES AND BENEFITS</t>
  </si>
  <si>
    <t>TOTAL PAYROLL TAXES AND BENEFITS</t>
  </si>
  <si>
    <t>TOTAL PERSONNEL SERVICE COSTS</t>
  </si>
  <si>
    <t>CONTRACTED SERVICES</t>
  </si>
  <si>
    <t>TOTAL CONTRACTED SERVICES</t>
  </si>
  <si>
    <t>SCHOOL OPERATIONS</t>
  </si>
  <si>
    <t>TOTAL SCHOOL OPERATIONS</t>
  </si>
  <si>
    <t>FACILITY OPERATION &amp; MAINTENANCE</t>
  </si>
  <si>
    <t>TOTAL FACILITY OPERATION &amp; MAINTENANCE</t>
  </si>
  <si>
    <t>DEPRECIATION &amp; AMORTIZATION</t>
  </si>
  <si>
    <t>ENROLLMENT - *School Districts Are Linked To Above Entries*</t>
  </si>
  <si>
    <t>TOTAL ENROLLMENT</t>
  </si>
  <si>
    <t>REVENUE PER PUPIL</t>
  </si>
  <si>
    <t>EXPENSES PER PUPIL</t>
  </si>
  <si>
    <t>NET INCOME</t>
  </si>
  <si>
    <t>DESCRIPTION OF ASSUMPTIONS</t>
  </si>
  <si>
    <t>CFO / Director of Finance</t>
  </si>
  <si>
    <t>Operation / Business Manager</t>
  </si>
  <si>
    <t>Nurse</t>
  </si>
  <si>
    <t>Librarian</t>
  </si>
  <si>
    <t>Custodian</t>
  </si>
  <si>
    <t>Year 1</t>
  </si>
  <si>
    <t>Year 2</t>
  </si>
  <si>
    <t>Year 3</t>
  </si>
  <si>
    <t>Year 4</t>
  </si>
  <si>
    <t>Year 5</t>
  </si>
  <si>
    <t>District Code</t>
  </si>
  <si>
    <t>School District Name</t>
  </si>
  <si>
    <t>Executive Management</t>
  </si>
  <si>
    <t>Instructional Management</t>
  </si>
  <si>
    <t>Deans, Directors &amp; Coordinators</t>
  </si>
  <si>
    <t>Administrative Staff</t>
  </si>
  <si>
    <t>Contact Name:</t>
  </si>
  <si>
    <t>Contact Email:</t>
  </si>
  <si>
    <t>Contact Phone:</t>
  </si>
  <si>
    <t>Contact Title:</t>
  </si>
  <si>
    <t>Per Pupil Rate</t>
  </si>
  <si>
    <t>DATA VALIDATION LISTS</t>
  </si>
  <si>
    <t>Year</t>
  </si>
  <si>
    <t>Yr1Start</t>
  </si>
  <si>
    <t>Yr1End</t>
  </si>
  <si>
    <t>SELECTION</t>
  </si>
  <si>
    <t>AcadYrs</t>
  </si>
  <si>
    <t>5 YEARS</t>
  </si>
  <si>
    <t>DVList-AcadYr</t>
  </si>
  <si>
    <t>Selection</t>
  </si>
  <si>
    <t>SELECTED ACADEMIC YEARS TABLE</t>
  </si>
  <si>
    <t>User Selection:</t>
  </si>
  <si>
    <t>Charter Funding Alphabetical By NYS School District</t>
  </si>
  <si>
    <t>Form Display Options</t>
  </si>
  <si>
    <t>Completion Test</t>
  </si>
  <si>
    <t>School Name</t>
  </si>
  <si>
    <t>User Input:</t>
  </si>
  <si>
    <t>Contact Name</t>
  </si>
  <si>
    <t>Contact Title</t>
  </si>
  <si>
    <t>Contact Email</t>
  </si>
  <si>
    <t>Contact Phone</t>
  </si>
  <si>
    <t>INFORMATION COMPLETION</t>
  </si>
  <si>
    <t>MESSAGES</t>
  </si>
  <si>
    <t>ENROLLMENT</t>
  </si>
  <si>
    <t>Enrollment</t>
  </si>
  <si>
    <t>GRADE LEVELS</t>
  </si>
  <si>
    <t>Elementary School</t>
  </si>
  <si>
    <t>Middle School</t>
  </si>
  <si>
    <t>High School</t>
  </si>
  <si>
    <t>RATE PER PUPIL</t>
  </si>
  <si>
    <t>WEIGHTED AVERAGE - ALL DISTRICTS</t>
  </si>
  <si>
    <t>WEIGHTED AVERAGES</t>
  </si>
  <si>
    <t>PER PUPIL RATE ("PPR") - TABLE DATE</t>
  </si>
  <si>
    <r>
      <rPr>
        <b/>
        <sz val="11.5"/>
        <rFont val="Calibri"/>
        <family val="2"/>
        <scheme val="minor"/>
      </rPr>
      <t xml:space="preserve">Per Pupil Rate - Table Date </t>
    </r>
    <r>
      <rPr>
        <sz val="11.5"/>
        <rFont val="Calibri"/>
        <family val="2"/>
        <scheme val="minor"/>
      </rPr>
      <t>(Determined via formula…</t>
    </r>
    <r>
      <rPr>
        <b/>
        <i/>
        <sz val="11.5"/>
        <rFont val="Calibri"/>
        <family val="2"/>
        <scheme val="minor"/>
      </rPr>
      <t>VERIFY</t>
    </r>
    <r>
      <rPr>
        <sz val="11.5"/>
        <rFont val="Calibri"/>
        <family val="2"/>
        <scheme val="minor"/>
      </rPr>
      <t>!)</t>
    </r>
  </si>
  <si>
    <t>Instructions</t>
  </si>
  <si>
    <t>Funding by District</t>
  </si>
  <si>
    <t>CELL COLORS &amp; GUIDANCE COMMENTS</t>
  </si>
  <si>
    <t>DYCD (Department of Youth and Community Development)</t>
  </si>
  <si>
    <t>PRIMARY District</t>
  </si>
  <si>
    <t>TOTAL PERSONNEL SERVICE FTE</t>
  </si>
  <si>
    <t>ADMINISTRATIVE PERSONNEL FTE</t>
  </si>
  <si>
    <t>INSTRUCTIONAL PERSONNEL FTE</t>
  </si>
  <si>
    <t>NON-INSTRUCTIONAL PERSONNEL FTE</t>
  </si>
  <si>
    <t xml:space="preserve"> = Enter information into the light BLUE shaded cells.</t>
  </si>
  <si>
    <t>=  Cells containing RED triangles in the upper right corner contain "guidance comments" on that particular line item.  Please "mouse-over" the triangle to reveal each comment.</t>
  </si>
  <si>
    <t>Description of Assumptions</t>
  </si>
  <si>
    <t>"0" = No entry
"1" = Entry</t>
  </si>
  <si>
    <t>DISTRICT NAME(S)</t>
  </si>
  <si>
    <t>PRIMARY/OTHER</t>
  </si>
  <si>
    <t xml:space="preserve"> = Cells labeled in ORANGE containe guidance regarding the input of information.</t>
  </si>
  <si>
    <t>NonSelectedSchools</t>
  </si>
  <si>
    <t>Rows</t>
  </si>
  <si>
    <r>
      <t>UNIQUE DROP DOWN LIST</t>
    </r>
    <r>
      <rPr>
        <i/>
        <u/>
        <sz val="11.5"/>
        <color rgb="FFFF0000"/>
        <rFont val="Calibri"/>
        <family val="2"/>
        <scheme val="minor"/>
      </rPr>
      <t xml:space="preserve"> (Array Formula - requires Ctrl-Shift-Enter)</t>
    </r>
  </si>
  <si>
    <t>These formulas must be updated when updating the Funding By District Table.</t>
  </si>
  <si>
    <t>This is used to create the dropdown list on tab 2) Enrollment Chart.</t>
  </si>
  <si>
    <t>IMPORTANT NOTE:</t>
  </si>
  <si>
    <t>&lt;--Not Array Formula</t>
  </si>
  <si>
    <t>(Down v)</t>
  </si>
  <si>
    <t>ARRAY FORMULAS</t>
  </si>
  <si>
    <t>STEPS</t>
  </si>
  <si>
    <t>&lt;</t>
  </si>
  <si>
    <t>1) Select entire Array Formula Range in Column B (# of rows = # of schools in table)</t>
  </si>
  <si>
    <t>4) Update  "Countif" formula in Column C (helper formula for Array Formula to use)</t>
  </si>
  <si>
    <t>2) Press F2 to edit formula (add/delete rows)</t>
  </si>
  <si>
    <r>
      <t xml:space="preserve">3) Press </t>
    </r>
    <r>
      <rPr>
        <b/>
        <u val="singleAccounting"/>
        <sz val="11.5"/>
        <rFont val="Calibri"/>
        <family val="2"/>
        <scheme val="minor"/>
      </rPr>
      <t>"Ctrl-Shift-Enter"</t>
    </r>
    <r>
      <rPr>
        <sz val="11.5"/>
        <rFont val="Calibri"/>
        <family val="2"/>
        <scheme val="minor"/>
      </rPr>
      <t xml:space="preserve"> to enter Array Formula (important!)</t>
    </r>
  </si>
  <si>
    <t>Please complete entering all information on tab - "2) Enrollment Chart"</t>
  </si>
  <si>
    <t>http://www.contextures.com/xlDataVal03.html</t>
  </si>
  <si>
    <t>WEBSITE:</t>
  </si>
  <si>
    <t>BASIC TUITION</t>
  </si>
  <si>
    <t>Current Academic Year:</t>
  </si>
  <si>
    <t>Prior Academic Year:</t>
  </si>
  <si>
    <t>BLANK:</t>
  </si>
  <si>
    <t>blank</t>
  </si>
  <si>
    <t>Prior Period: (Calculated)</t>
  </si>
  <si>
    <t>BALANCE SHEET</t>
  </si>
  <si>
    <t>Prior Year</t>
  </si>
  <si>
    <t>Q1</t>
  </si>
  <si>
    <t>Q2</t>
  </si>
  <si>
    <t>Q3</t>
  </si>
  <si>
    <t>Q4</t>
  </si>
  <si>
    <t>As of 9/30</t>
  </si>
  <si>
    <t>As of 12/31</t>
  </si>
  <si>
    <t>As of 3/31</t>
  </si>
  <si>
    <t>As of 6/30</t>
  </si>
  <si>
    <t>ASSETS</t>
  </si>
  <si>
    <t>CURRENT ASSETS</t>
  </si>
  <si>
    <t xml:space="preserve">Cash and cash equivalents </t>
  </si>
  <si>
    <t>Grants and contracts receivable</t>
  </si>
  <si>
    <t>Accounts receivables</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</si>
  <si>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</si>
  <si>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</si>
  <si>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</si>
  <si>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</si>
  <si>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</si>
  <si>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</si>
  <si>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</si>
  <si>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</si>
  <si>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</si>
  <si>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</si>
  <si>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</si>
  <si>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</si>
  <si>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</si>
  <si>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LONG-TERM DEBT and NOTES PAYABLE, net current maturities</t>
  </si>
  <si>
    <t>TOTAL LIABILITIES</t>
  </si>
  <si>
    <t>NET ASSETS</t>
  </si>
  <si>
    <t>Unrestricted</t>
  </si>
  <si>
    <t>Temporarily restricted</t>
  </si>
  <si>
    <t>TOTAL NET ASSETS</t>
  </si>
  <si>
    <t>TOTAL LIABILITIES AND NET ASSETS</t>
  </si>
  <si>
    <t>Budget / Operating Plan</t>
  </si>
  <si>
    <t>Actual Student Enrollment</t>
  </si>
  <si>
    <t>Total Paid Student Enrollment</t>
  </si>
  <si>
    <t>Prior Year Actual</t>
  </si>
  <si>
    <t>1st Quarter - 7/1 - 9/30</t>
  </si>
  <si>
    <t>2nd Quarter - 10/1 - 12/31</t>
  </si>
  <si>
    <t>3rd Quarter - 1/1 - 3/31</t>
  </si>
  <si>
    <t>4th Quarter - 4/1 - 6/30</t>
  </si>
  <si>
    <t>Total Year</t>
  </si>
  <si>
    <t>VARIANCE</t>
  </si>
  <si>
    <t>Variance</t>
  </si>
  <si>
    <t>SECONDARY District</t>
  </si>
  <si>
    <t>Other District 3</t>
  </si>
  <si>
    <t>Other District 4</t>
  </si>
  <si>
    <t>Other District 5</t>
  </si>
  <si>
    <t>Other District 6</t>
  </si>
  <si>
    <t>Other District 7</t>
  </si>
  <si>
    <t>Other District 8</t>
  </si>
  <si>
    <t>Other District 9</t>
  </si>
  <si>
    <t>Other District 10</t>
  </si>
  <si>
    <t>Other District 11</t>
  </si>
  <si>
    <t>Other District 12</t>
  </si>
  <si>
    <t>Other District 13</t>
  </si>
  <si>
    <t>Other District 14</t>
  </si>
  <si>
    <t>Other District 15</t>
  </si>
  <si>
    <t>Other District 16</t>
  </si>
  <si>
    <t>Other District 17</t>
  </si>
  <si>
    <t>Other District 18</t>
  </si>
  <si>
    <t>Other District 19</t>
  </si>
  <si>
    <t>Other District 20</t>
  </si>
  <si>
    <t>Other District 21</t>
  </si>
  <si>
    <t>Other District 22</t>
  </si>
  <si>
    <t>Other District 23</t>
  </si>
  <si>
    <t>Other District 24</t>
  </si>
  <si>
    <t>Other District 25</t>
  </si>
  <si>
    <t>Other District 26</t>
  </si>
  <si>
    <t>Other District 27</t>
  </si>
  <si>
    <t>Other District 28</t>
  </si>
  <si>
    <t>Other District 29</t>
  </si>
  <si>
    <t>Other District 30</t>
  </si>
  <si>
    <t>Other District 31</t>
  </si>
  <si>
    <t>Other District 32</t>
  </si>
  <si>
    <t>Other District 33</t>
  </si>
  <si>
    <t>Other District 34</t>
  </si>
  <si>
    <t>Other District 35</t>
  </si>
  <si>
    <t>Other District 36</t>
  </si>
  <si>
    <t>Other District 37</t>
  </si>
  <si>
    <t>Other District 38</t>
  </si>
  <si>
    <t>Other District 39</t>
  </si>
  <si>
    <t>Other District 40</t>
  </si>
  <si>
    <t>Other District 41</t>
  </si>
  <si>
    <t>Other District 42</t>
  </si>
  <si>
    <t>Other District 43</t>
  </si>
  <si>
    <t>Other District 44</t>
  </si>
  <si>
    <t>Other District 45</t>
  </si>
  <si>
    <t>Other District 46</t>
  </si>
  <si>
    <t>Other District 47</t>
  </si>
  <si>
    <t>Other District 48</t>
  </si>
  <si>
    <t>Other District 49</t>
  </si>
  <si>
    <t>Other District 50</t>
  </si>
  <si>
    <t>Current Year</t>
  </si>
  <si>
    <t>Original Budget</t>
  </si>
  <si>
    <t>Revised Budget</t>
  </si>
  <si>
    <t>Original Budget vs. PY Budget</t>
  </si>
  <si>
    <t>Revised Budget vs. PY Budget</t>
  </si>
  <si>
    <t>SUM of Basic Tuition for DISTRICTS 16-50</t>
  </si>
  <si>
    <t>COUNT "Others" Districts from 16-50 =</t>
  </si>
  <si>
    <t>AVG COUNT "Others" Enrollment from 16-50 =</t>
  </si>
  <si>
    <t>Weighted Avg Others 16-50</t>
  </si>
  <si>
    <t>Backed-in calc:</t>
  </si>
  <si>
    <t>Rev</t>
  </si>
  <si>
    <t>This section checks to make sure that revenue is NOT reported WITHOUT corresponding enrollment.  #DIV/0! reveals that error.</t>
  </si>
  <si>
    <t>Total</t>
  </si>
  <si>
    <t>Error Check</t>
  </si>
  <si>
    <t>Annual Report Requirement</t>
  </si>
  <si>
    <t>for SUNY Authorized Charter Schools</t>
  </si>
  <si>
    <t>Administrative expenditures per pupil:</t>
  </si>
  <si>
    <t>Per NYS Statute</t>
  </si>
  <si>
    <t>Administrative expenditures per pupil: the sum of all general administration salaries and other general administration expenditures divided by the total number of enrolled students. Employee benefit costs or expenditures should not be reported here.</t>
  </si>
  <si>
    <t>TOTALS AND VARIANCE ANALYSIS</t>
  </si>
  <si>
    <t>Actual</t>
  </si>
  <si>
    <t>Current Budget</t>
  </si>
  <si>
    <t>Current Budget   (Current Quarter)</t>
  </si>
  <si>
    <t>Actual                     vs.                       Current Budget</t>
  </si>
  <si>
    <t>Current Budget - TY</t>
  </si>
  <si>
    <t>Actual          vs.              Current Budget TY</t>
  </si>
  <si>
    <t>Original Budget   (Current Quarter)</t>
  </si>
  <si>
    <t>Actual                  vs.               Original Budget</t>
  </si>
  <si>
    <t>Original Budget - TY</t>
  </si>
  <si>
    <t>Actual              vs.            Original Budget TY</t>
  </si>
  <si>
    <t>Actual CY            vs.            Actual PY</t>
  </si>
  <si>
    <t>* Enrollment Data Based on Last Actual Quarter Completed</t>
  </si>
  <si>
    <t>STAFFING PLAN - FULL TIME EQUIVALENT ("FTE")</t>
  </si>
  <si>
    <t>Original Budgeted Enrollment</t>
  </si>
  <si>
    <t>Actual Enrollment</t>
  </si>
  <si>
    <t>QUARTER 1</t>
  </si>
  <si>
    <t>QUARTER 2</t>
  </si>
  <si>
    <t>QUARTER 3</t>
  </si>
  <si>
    <t>QUARTER 4</t>
  </si>
  <si>
    <t>ACTUAL</t>
  </si>
  <si>
    <t>PRIOR YEAR</t>
  </si>
  <si>
    <t>NUMBER OF SCHOOL DISTRICTS ENROLLED:</t>
  </si>
  <si>
    <t>ORIGINAL REVENUE (CALCULATED)</t>
  </si>
  <si>
    <t>REVISED REVENUE (CALCULATED)</t>
  </si>
  <si>
    <t>AVG ENROLLMENT</t>
  </si>
  <si>
    <t>NUMBER OF STUDENTS ENROLLED:</t>
  </si>
  <si>
    <r>
      <rPr>
        <b/>
        <i/>
        <sz val="11.5"/>
        <rFont val="Calibri"/>
        <family val="2"/>
        <scheme val="minor"/>
      </rPr>
      <t>Revised</t>
    </r>
    <r>
      <rPr>
        <sz val="11.5"/>
        <rFont val="Calibri"/>
        <family val="2"/>
        <scheme val="minor"/>
      </rPr>
      <t xml:space="preserve"> Budgeted Enrollment</t>
    </r>
  </si>
  <si>
    <t xml:space="preserve">*NOTE: THIS TAB ONLY NEEDS TO BE COMPLETED FOR Q4 </t>
  </si>
  <si>
    <t>Number of Districts:</t>
  </si>
  <si>
    <t>K</t>
  </si>
  <si>
    <t>GRADES</t>
  </si>
  <si>
    <t>ENROLLMENT BY GRADES</t>
  </si>
  <si>
    <t>ENROLLMENT BY DISTRICT</t>
  </si>
  <si>
    <t>ACTUAL ENROLLMENT BY QUARTER</t>
  </si>
  <si>
    <t>ANNUAL BUDGETED FTE</t>
  </si>
  <si>
    <t>ACTUAL QUARTERLY FTE</t>
  </si>
  <si>
    <r>
      <rPr>
        <b/>
        <i/>
        <sz val="11.5"/>
        <rFont val="Calibri"/>
        <family val="2"/>
        <scheme val="minor"/>
      </rPr>
      <t xml:space="preserve"> *NOTE:</t>
    </r>
    <r>
      <rPr>
        <i/>
        <sz val="11.5"/>
        <rFont val="Calibri"/>
        <family val="2"/>
        <scheme val="minor"/>
      </rPr>
      <t xml:space="preserve">  Enter the number of FTE positions in the "blue" cells.</t>
    </r>
  </si>
  <si>
    <t>Original</t>
  </si>
  <si>
    <t>Revised</t>
  </si>
  <si>
    <t>Building and Land Rent / Lease / Facility Finance Interest</t>
  </si>
  <si>
    <r>
      <t xml:space="preserve">ANNUAL BUDGET
</t>
    </r>
    <r>
      <rPr>
        <sz val="12"/>
        <rFont val="Calibri"/>
        <family val="2"/>
        <scheme val="minor"/>
      </rPr>
      <t>TOTAL DISTRICTS/ENROLLMENT BY QUARTER</t>
    </r>
  </si>
  <si>
    <t>ACTUAL QUARTERLY
TOTAL DISTRICTS/ENROLLMENT</t>
  </si>
  <si>
    <t>ANNUAL BUDGET
ENROLLMENT BY QUARTER</t>
  </si>
  <si>
    <t>TOTAL Per Pupil Revenue (Weighted Average Per Pupil Funding)</t>
  </si>
  <si>
    <t>ALL OTHER School Districts: ( Weighted Avg )</t>
  </si>
  <si>
    <t>1.) Name of School</t>
  </si>
  <si>
    <t>2.) Enrollment</t>
  </si>
  <si>
    <t>3.) Staffing Plan</t>
  </si>
  <si>
    <t>4.) Yearly Budget</t>
  </si>
  <si>
    <t>5.) Balance Sheet</t>
  </si>
  <si>
    <t>6.) Quarterly Report</t>
  </si>
  <si>
    <t>7.) Annual Report Requirement</t>
  </si>
  <si>
    <t>Provides description of tabs and input requirements.</t>
  </si>
  <si>
    <t>INITIAL BUDGETED ENROLLMENT</t>
  </si>
  <si>
    <t>Avg. No. of Positions</t>
  </si>
  <si>
    <t>Complete when submitting Actual Quarter 4.</t>
  </si>
  <si>
    <t>GENERAL INSTRUCTIONS FOR
ANNUAL BUDGET/QUARTERLY REPORT</t>
  </si>
  <si>
    <t>Deferred Revenue</t>
  </si>
  <si>
    <t>ANNUAL BUDGET &amp; QUARTERLY REPORT TEMPLATE</t>
  </si>
  <si>
    <t>*NOTE: Enrollment, Revenue and Expediture Data IN the 'Total and Variance Analysis' Section is Based on LAST ACTUAL Quarter Completed</t>
  </si>
  <si>
    <t>Please complete entering all information  on tab - "1) Name of School"</t>
  </si>
  <si>
    <t>Please enter school name on tab - "1) Name of School"</t>
  </si>
  <si>
    <t>1- GRAY tab contains the Instructions</t>
  </si>
  <si>
    <t>2- BLUE tabs require input of information</t>
  </si>
  <si>
    <t>TEMPLATE TABS</t>
  </si>
  <si>
    <t>* (Sum of Charter School Basic Tuition and Supplemental Basic Tuition)</t>
  </si>
  <si>
    <t>enter name</t>
  </si>
  <si>
    <t>enter title</t>
  </si>
  <si>
    <t>enter email address</t>
  </si>
  <si>
    <t>enter phone number</t>
  </si>
  <si>
    <t>SCHOOLS</t>
  </si>
  <si>
    <t>Academy Charter School, The</t>
  </si>
  <si>
    <t>Achievement First Brownsville Charter School</t>
  </si>
  <si>
    <t>Achievement First Bushwick Charter School</t>
  </si>
  <si>
    <t>Achievement First Apollo Charter School</t>
  </si>
  <si>
    <t>Albany Leadership Charter High School for Girls</t>
  </si>
  <si>
    <t>Bedford Stuyvesant Collegiate Charter School</t>
  </si>
  <si>
    <t>Bronx Charter School for Better Learning</t>
  </si>
  <si>
    <t>Bronx Charter School for Excellence</t>
  </si>
  <si>
    <t>Bronx Preparatory Charter School</t>
  </si>
  <si>
    <t>Brooklyn Dreams Charter School</t>
  </si>
  <si>
    <t>Brooklyn Excelsior Charter School</t>
  </si>
  <si>
    <t>Brownsville Collegiate Charter School</t>
  </si>
  <si>
    <t>Buffalo United Charter School</t>
  </si>
  <si>
    <t>Community Partnership Charter School</t>
  </si>
  <si>
    <t>Ocean Hill Collegiate Charter School</t>
  </si>
  <si>
    <t>Brooklyn East Collegiate Charter School</t>
  </si>
  <si>
    <t>Eugenio Maria de Hostos Charter School</t>
  </si>
  <si>
    <t>Excellence Boys Charter School of Bedford Stuyvesant</t>
  </si>
  <si>
    <t>Excellence Girls Charter School</t>
  </si>
  <si>
    <t>Family Life Academy Charter School</t>
  </si>
  <si>
    <t>Girls Preparatory Charter School of New York</t>
  </si>
  <si>
    <t>Girls Preparatory Charter School of the Bronx</t>
  </si>
  <si>
    <t>Grand Concourse Academy Charter School</t>
  </si>
  <si>
    <t>University Prep Charter High School</t>
  </si>
  <si>
    <t>Harbor Science and Arts Charter School</t>
  </si>
  <si>
    <t>Harlem Prep Charter School</t>
  </si>
  <si>
    <t>Harlem Link Charter School</t>
  </si>
  <si>
    <t>Success Academy Charter School - Harlem 2</t>
  </si>
  <si>
    <t>Success Academy Charter School - Harlem 3</t>
  </si>
  <si>
    <t>Success Academy Charter School - Harlem 4</t>
  </si>
  <si>
    <t>Success Academy Charter School - Harlem 5</t>
  </si>
  <si>
    <t>Success Academy Charter School - Bronx 2</t>
  </si>
  <si>
    <t>Success Academy Charter School - Bronx 1</t>
  </si>
  <si>
    <t>Henry Johnson Charter School</t>
  </si>
  <si>
    <t>Icahn Charter School 1</t>
  </si>
  <si>
    <t>Icahn Charter School 2</t>
  </si>
  <si>
    <t>Icahn Charter School 3</t>
  </si>
  <si>
    <t>Icahn Charter School 4</t>
  </si>
  <si>
    <t>Icahn Charter School 5</t>
  </si>
  <si>
    <t>King Center Charter School</t>
  </si>
  <si>
    <t>Kings Collegiate Charter School</t>
  </si>
  <si>
    <t>KIPP Tech Valley Charter School</t>
  </si>
  <si>
    <t>Leadership Preparatory Bedford Stuyvesant Charter School</t>
  </si>
  <si>
    <t>Leadership Preparatory Brownsville Charter School</t>
  </si>
  <si>
    <t>Leadership Preparatory Ocean Hill Charter School</t>
  </si>
  <si>
    <t>Leadership Preparatory Canarsie Charter School</t>
  </si>
  <si>
    <t>Merrick Academy - Queens Public Charter School</t>
  </si>
  <si>
    <t>New Roots Charter School</t>
  </si>
  <si>
    <t>New World Preparatory Charter School</t>
  </si>
  <si>
    <t>Our World Neighborhood Charter School</t>
  </si>
  <si>
    <t>Roosevelt Children's Academy Charter School</t>
  </si>
  <si>
    <t>South Buffalo Charter School</t>
  </si>
  <si>
    <t>Tapestry Charter School</t>
  </si>
  <si>
    <t>University Preparatory Charter School for Young Men</t>
  </si>
  <si>
    <t>Academy of the City Charter School</t>
  </si>
  <si>
    <t>Success Academy Charter School - Bed Stuy 1</t>
  </si>
  <si>
    <t>Broome Street Academy Charter High School</t>
  </si>
  <si>
    <t>East Harlem Scholars Academy Charter School</t>
  </si>
  <si>
    <t>Explore Excel Charter School</t>
  </si>
  <si>
    <t>New Visions Charter High School for Advanced Math and Science</t>
  </si>
  <si>
    <t>New Visions Charter High School for the Humanities</t>
  </si>
  <si>
    <t>Success Academy Charter School - Upper West</t>
  </si>
  <si>
    <t>Achievement First Aspire Charter School</t>
  </si>
  <si>
    <t>Beginning with Children Charter School II</t>
  </si>
  <si>
    <t>Success Academy Charter School - Bed Stuy 2</t>
  </si>
  <si>
    <t>Success Academy Charter School - Cobble Hill</t>
  </si>
  <si>
    <t>Success Academy Charter School - Williamsburg</t>
  </si>
  <si>
    <t>Canarsie Ascend Charter School</t>
  </si>
  <si>
    <t>Central Queens Academy Charter School</t>
  </si>
  <si>
    <t>Children's Aid College Prep Charter School</t>
  </si>
  <si>
    <t>Explore Exceed Charter School</t>
  </si>
  <si>
    <t>Family Life Academy Charter School II</t>
  </si>
  <si>
    <t>Icahn Charter School 6</t>
  </si>
  <si>
    <t>Icahn Charter School 7</t>
  </si>
  <si>
    <t>Manhattan Charter School II</t>
  </si>
  <si>
    <t>Boys Preparatory Charter School of New York</t>
  </si>
  <si>
    <t>Success Academy Charter School - Fort Greene</t>
  </si>
  <si>
    <t>Success Academy Charter School - Prospect Heights</t>
  </si>
  <si>
    <t>Success Academy Charter School - Crown Heights</t>
  </si>
  <si>
    <t>Success Academy Charter School - Hell's Kitchen</t>
  </si>
  <si>
    <t>Success Academy Charter School - Union Square</t>
  </si>
  <si>
    <t>Success Academy Charter School - Bronx 3</t>
  </si>
  <si>
    <t>East Harlem Scholars Academy Charter School II</t>
  </si>
  <si>
    <t>Achievement First North Brooklyn Preparatory Charter School</t>
  </si>
  <si>
    <t>Central Brooklyn Ascend Charter School</t>
  </si>
  <si>
    <t>Middle Village Preparatory Charter School</t>
  </si>
  <si>
    <t>Family Life Academy Charter School III</t>
  </si>
  <si>
    <t>Achievement First Linden Charter School</t>
  </si>
  <si>
    <t>Success Academy Charter School - Washington Heights</t>
  </si>
  <si>
    <t>Success Academy Charter School - Bronx 4</t>
  </si>
  <si>
    <t>Success Academy Charter School - Bensonhurst</t>
  </si>
  <si>
    <t>Success Academy Charter School - Bergen Beach</t>
  </si>
  <si>
    <t>Success Academy Charter School - Rosedale</t>
  </si>
  <si>
    <t>Success Academy Charter School - Springfield Gardens</t>
  </si>
  <si>
    <t>Success Academy Charter School - Harlem 1</t>
  </si>
  <si>
    <t>Atmosphere Academy Public Charter School</t>
  </si>
  <si>
    <t>Bronx Charter School for Better Learning II</t>
  </si>
  <si>
    <t>Finn Academy: An Elmira Charter School</t>
  </si>
  <si>
    <t>Storefront Academy Charter School</t>
  </si>
  <si>
    <t>Explore Charter School</t>
  </si>
  <si>
    <t>Explore Empower Charter School</t>
  </si>
  <si>
    <t>Williamsburg Collegiate Charter School</t>
  </si>
  <si>
    <t>New York City Charter School of the Arts</t>
  </si>
  <si>
    <t>Bronx Charter School for Excellence 2</t>
  </si>
  <si>
    <t>Achievement First Crown Heights Charter School</t>
  </si>
  <si>
    <t>Achievement First East New York Charter School</t>
  </si>
  <si>
    <t>Achievement First Endeavor Charter School</t>
  </si>
  <si>
    <t>Brooklyn Ascend Charter School</t>
  </si>
  <si>
    <t>Brownsville Ascend Charter School</t>
  </si>
  <si>
    <t>Bushwick Ascend Charter School</t>
  </si>
  <si>
    <t>Manhattan Charter School</t>
  </si>
  <si>
    <r>
      <t xml:space="preserve">Select from drop-down list </t>
    </r>
    <r>
      <rPr>
        <sz val="11.5"/>
        <rFont val="Calibri"/>
        <family val="2"/>
      </rPr>
      <t>→</t>
    </r>
  </si>
  <si>
    <r>
      <t xml:space="preserve">Select grade 5 level from drop-down list </t>
    </r>
    <r>
      <rPr>
        <sz val="11.5"/>
        <rFont val="Calibri"/>
        <family val="2"/>
      </rPr>
      <t>→</t>
    </r>
  </si>
  <si>
    <r>
      <t xml:space="preserve">(Select from drop-down list) </t>
    </r>
    <r>
      <rPr>
        <b/>
        <sz val="11.5"/>
        <rFont val="Calibri"/>
        <family val="2"/>
      </rPr>
      <t>→</t>
    </r>
  </si>
  <si>
    <t>(Select from drop-down list) →</t>
  </si>
  <si>
    <t>Charter School Tuition Rates</t>
  </si>
  <si>
    <t>Name:</t>
  </si>
  <si>
    <t>CONTACT INFORMATION</t>
  </si>
  <si>
    <t>REPORT PERIOD</t>
  </si>
  <si>
    <t>SCHOOL</t>
  </si>
  <si>
    <t>NA</t>
  </si>
  <si>
    <t>MergeCorpID</t>
  </si>
  <si>
    <t>MergeName</t>
  </si>
  <si>
    <t>YrOpen</t>
  </si>
  <si>
    <t>MergeYr</t>
  </si>
  <si>
    <t>Achievement First Voyager Charter School</t>
  </si>
  <si>
    <t>QTR</t>
  </si>
  <si>
    <t>DATA-INPUT</t>
  </si>
  <si>
    <t>RESULT</t>
  </si>
  <si>
    <t>Most Recent Qtr with Data:</t>
  </si>
  <si>
    <t>QUARTER DATA-INPUT CHECKER</t>
  </si>
  <si>
    <t>*This simply indicates that at least one (1) data item was input for each given quarter.</t>
  </si>
  <si>
    <r>
      <rPr>
        <b/>
        <i/>
        <sz val="11.5"/>
        <rFont val="Calibri"/>
        <family val="2"/>
        <scheme val="minor"/>
      </rPr>
      <t>*NOTE:</t>
    </r>
    <r>
      <rPr>
        <i/>
        <sz val="11.5"/>
        <rFont val="Calibri"/>
        <family val="2"/>
        <scheme val="minor"/>
      </rPr>
      <t xml:space="preserve">  State the assumptions that are being made for personnel FTE levels.</t>
    </r>
  </si>
  <si>
    <r>
      <rPr>
        <b/>
        <i/>
        <sz val="11.5"/>
        <rFont val="Calibri"/>
        <family val="2"/>
        <scheme val="minor"/>
      </rPr>
      <t>*NOTE:</t>
    </r>
    <r>
      <rPr>
        <i/>
        <sz val="11.5"/>
        <rFont val="Calibri"/>
        <family val="2"/>
        <scheme val="minor"/>
      </rPr>
      <t xml:space="preserve">  If there are NO budget revisions at the time of quarterly submittal leave the 'REVISED' Column(s) COMPLETELY BLANK.
If budget revisions ARE made, the entire "REVISED" budget columns for the affected quarter(s) must be completed on tabs 2, 3 and 4.</t>
    </r>
  </si>
  <si>
    <r>
      <rPr>
        <b/>
        <i/>
        <sz val="11.5"/>
        <rFont val="Calibri"/>
        <family val="2"/>
        <scheme val="minor"/>
      </rPr>
      <t xml:space="preserve">*NOTE:  </t>
    </r>
    <r>
      <rPr>
        <i/>
        <sz val="11.5"/>
        <rFont val="Calibri"/>
        <family val="2"/>
        <scheme val="minor"/>
      </rPr>
      <t>Each quarter, the actual FTE should be input.</t>
    </r>
  </si>
  <si>
    <r>
      <rPr>
        <b/>
        <sz val="11.5"/>
        <rFont val="Calibri"/>
        <family val="2"/>
        <scheme val="minor"/>
      </rPr>
      <t>*NOTE:</t>
    </r>
    <r>
      <rPr>
        <sz val="11.5"/>
        <rFont val="Calibri"/>
        <family val="2"/>
        <scheme val="minor"/>
      </rPr>
      <t xml:space="preserve">  </t>
    </r>
    <r>
      <rPr>
        <i/>
        <sz val="11.5"/>
        <rFont val="Calibri"/>
        <family val="2"/>
        <scheme val="minor"/>
      </rPr>
      <t>If there are NO budget revisions at the time of quarterly submittal leave the 'REVISED' Column(s) COMPLETELY BLANK.  If budget revisions ARE made, the entire "REVISED" budget columns for the affected quarter(s) must be completed on tabs 2, 3 and 4.</t>
    </r>
  </si>
  <si>
    <r>
      <rPr>
        <b/>
        <sz val="11.5"/>
        <rFont val="Calibri"/>
        <family val="2"/>
        <scheme val="minor"/>
      </rPr>
      <t xml:space="preserve">*NOTE:  </t>
    </r>
    <r>
      <rPr>
        <i/>
        <sz val="11.5"/>
        <rFont val="Calibri"/>
        <family val="2"/>
        <scheme val="minor"/>
      </rPr>
      <t>If there are NO budget revisions at the time of quarterly submittal leave the 'REVISED' Column(s) COMPLETELY BLANK.
If budget revisions ARE made, the entire "REVISED" budget columns for the affected quarter(s) must be completed on tabs 2, 3 and 4.</t>
    </r>
  </si>
  <si>
    <t>PPR %/Qtr-&gt;</t>
  </si>
  <si>
    <t>TOTAL</t>
  </si>
  <si>
    <t>BS-NeedCode</t>
  </si>
  <si>
    <t>0=EdCorp(StandAlone)</t>
  </si>
  <si>
    <t>1=EdCorp(SurvivingMerge)</t>
  </si>
  <si>
    <t>2=School(Merged)</t>
  </si>
  <si>
    <t>BS_Note_Code</t>
  </si>
  <si>
    <t>BSMessages</t>
  </si>
  <si>
    <t>BSNote1</t>
  </si>
  <si>
    <t>&gt;Select school name from list.
&gt;Enter contact information.</t>
  </si>
  <si>
    <t>Enter enrollment information for Annual Budget (&amp; Revisions) and Quarterly Actuals.  Includes:
&gt;Enrollment by Grade
&gt;Enrollment by District</t>
  </si>
  <si>
    <t>Allocate Per Pupil Revenue by Quarter</t>
  </si>
  <si>
    <t>Enter Actual Quarterly Report information .  Includes:
&gt;Actual Enrollment data and Per Pupil Revenue for the current year are populated based upon input on tab "2.) Enrollment."
&gt;Actual FTE for current year is populated based upon input on tab
"3.) Staffing Plan."
&gt;All other sources of revenue
&gt;All expenses</t>
  </si>
  <si>
    <t>Success Academy Charter School - Bed Stuy 3</t>
  </si>
  <si>
    <t>Success Academy Charter School - Bushwick</t>
  </si>
  <si>
    <t>Success Academy Charter School - Far Rockaway</t>
  </si>
  <si>
    <t>Success Academy Charter School - Flatbush</t>
  </si>
  <si>
    <t>Success Academy Charter School - South Jamaica</t>
  </si>
  <si>
    <t xml:space="preserve"> </t>
  </si>
  <si>
    <t>Success Academy Charter School - Hudson Yards</t>
  </si>
  <si>
    <t>Success Academy Charter School - Harlem 6</t>
  </si>
  <si>
    <t>Elmwood Village Charter School Hertel</t>
  </si>
  <si>
    <t>New York Center for Autism Charter School Bronx</t>
  </si>
  <si>
    <t>Bronx Charter School for Excellence 3</t>
  </si>
  <si>
    <t>Brooklyn Emerging Leaders Academy Charter School</t>
  </si>
  <si>
    <t>Forte Preparatory Academy Charter School</t>
  </si>
  <si>
    <t>Legacy College Preparatory Charter School</t>
  </si>
  <si>
    <t>Brilla College Preparatory Charter School</t>
  </si>
  <si>
    <t>Elmwood Village Charter School Days Park</t>
  </si>
  <si>
    <t>New York Center for Autism Charter School</t>
  </si>
  <si>
    <t>Brooklyn Prospect Charter School - CSD 15</t>
  </si>
  <si>
    <t>Brooklyn Prospect Charter School - CSD 13</t>
  </si>
  <si>
    <t>School</t>
  </si>
  <si>
    <t>SurvivingSchool</t>
  </si>
  <si>
    <t>New Visions AIM Charter High School I</t>
  </si>
  <si>
    <t>New Visions AIM Charter High School II</t>
  </si>
  <si>
    <t>NYC DoE Rental Assistance</t>
  </si>
  <si>
    <t>BUDGET APPROVAL CONFIRMATION</t>
  </si>
  <si>
    <t>BUDGET APPROVAL - Extension Message</t>
  </si>
  <si>
    <t>Budget Approved by Board:</t>
  </si>
  <si>
    <t>Democracy Preparatory Charter School</t>
  </si>
  <si>
    <t>CASH FLOW ADJUSTMENTS</t>
  </si>
  <si>
    <t>Example - Add Back Depreciation</t>
  </si>
  <si>
    <t>Total Operating Activities</t>
  </si>
  <si>
    <t>Example - Subtract Property and Equipment Expenditures</t>
  </si>
  <si>
    <t>Total Investment Activities</t>
  </si>
  <si>
    <t>Example - Add Expected Proceeds from a Loan or Line of Credit</t>
  </si>
  <si>
    <t>Total Financing Activities</t>
  </si>
  <si>
    <t>Total Cash Flow Adjustments</t>
  </si>
  <si>
    <t>Beginning Cash Balance</t>
  </si>
  <si>
    <t>ENDING CASH BALANCE</t>
  </si>
  <si>
    <r>
      <t>OPERATING ACTIVITIES {</t>
    </r>
    <r>
      <rPr>
        <i/>
        <sz val="11.5"/>
        <color indexed="8"/>
        <rFont val="Calibri"/>
        <family val="2"/>
        <scheme val="minor"/>
      </rPr>
      <t>enter descriptions below</t>
    </r>
    <r>
      <rPr>
        <sz val="11.5"/>
        <color indexed="8"/>
        <rFont val="Calibri"/>
        <family val="2"/>
        <scheme val="minor"/>
      </rPr>
      <t>}</t>
    </r>
  </si>
  <si>
    <t>UNGRADED</t>
  </si>
  <si>
    <t>PRE-K</t>
  </si>
  <si>
    <t>{ENTER YEAR}</t>
  </si>
  <si>
    <r>
      <t>INVESTMENT ACTIVITIES {</t>
    </r>
    <r>
      <rPr>
        <i/>
        <sz val="11.5"/>
        <rFont val="Calibri"/>
        <family val="2"/>
        <scheme val="minor"/>
      </rPr>
      <t>enter descriptions below</t>
    </r>
    <r>
      <rPr>
        <sz val="11.5"/>
        <rFont val="Calibri"/>
        <family val="2"/>
        <scheme val="minor"/>
      </rPr>
      <t>}</t>
    </r>
  </si>
  <si>
    <r>
      <t>FINANCING ACTIVITIES {</t>
    </r>
    <r>
      <rPr>
        <i/>
        <sz val="11.5"/>
        <rFont val="Calibri"/>
        <family val="2"/>
        <scheme val="minor"/>
      </rPr>
      <t>enter descriptions below</t>
    </r>
    <r>
      <rPr>
        <sz val="11.5"/>
        <rFont val="Calibri"/>
        <family val="2"/>
        <scheme val="minor"/>
      </rPr>
      <t>}</t>
    </r>
  </si>
  <si>
    <t>SurvivingEdCorp</t>
  </si>
  <si>
    <t>DEFERRED RENT</t>
  </si>
  <si>
    <t>Academic Leadership Charter School</t>
  </si>
  <si>
    <t>Academy Charter School, The (Combined)</t>
  </si>
  <si>
    <t>Achievement First Brooklyn Charter Schools (Combined)</t>
  </si>
  <si>
    <t>Amber Charter School East Harlem</t>
  </si>
  <si>
    <t>Amber Charter School (Combined)</t>
  </si>
  <si>
    <t>Amber Charter School Kingsbridge</t>
  </si>
  <si>
    <t>Brilla College Preparatory Charter Schools (Combined)</t>
  </si>
  <si>
    <t>Bronx Charter School for Excellence (Combined)</t>
  </si>
  <si>
    <t>Bronx Charter School for Excellence 4</t>
  </si>
  <si>
    <t>Democracy Prep New York Charter Schools (Combined)</t>
  </si>
  <si>
    <t>Brooklyn Prospect Charter School (Combined)</t>
  </si>
  <si>
    <t>Ascend Charter Schools (Combined)</t>
  </si>
  <si>
    <t>Cardinal McCloskey Community Charter School</t>
  </si>
  <si>
    <t>Coney Island Preparatory Public Charter School</t>
  </si>
  <si>
    <t>Cypress Hills Ascend Charter School</t>
  </si>
  <si>
    <t>East Harlem Scholars Academy Charter School (Combined)</t>
  </si>
  <si>
    <t>Elm Community Charter School</t>
  </si>
  <si>
    <t>Explore Charter Schools of Brooklyn (Combined)</t>
  </si>
  <si>
    <t>Family Life Academy Charter Schools (Combined)</t>
  </si>
  <si>
    <t>Public Preparatory Charter School Academies (Combined)</t>
  </si>
  <si>
    <t>Harlem Village Academy East Charter School</t>
  </si>
  <si>
    <t>Harlem Village Academy West Charter School</t>
  </si>
  <si>
    <t>International Leadership Charter High School</t>
  </si>
  <si>
    <t>Uncommon New York City Charter Schools (Combined)</t>
  </si>
  <si>
    <t>Manhattan Charter Schools (Combined)</t>
  </si>
  <si>
    <t>Our World Neighborhood Charter School (Combined)</t>
  </si>
  <si>
    <t>Our World Neighborhood Charter School 2</t>
  </si>
  <si>
    <t>PAVE Academy Charter School</t>
  </si>
  <si>
    <t>Persistence Preparatory Academy Charter School</t>
  </si>
  <si>
    <t>Success Academy Charter Schools - NYC (Combined)</t>
  </si>
  <si>
    <t>Urban Assembly Charter School for Computer Science</t>
  </si>
  <si>
    <t>Zeta Charter Schools - New York City (Combined)</t>
  </si>
  <si>
    <t>Bronx Charter School for Better Learning (Combined)</t>
  </si>
  <si>
    <t>Bronx Charter School for Excellence 5</t>
  </si>
  <si>
    <t>Brooklyn Prospect Charter School - CSD 15.2</t>
  </si>
  <si>
    <t>Democracy Prep Endurance Charter School</t>
  </si>
  <si>
    <t>Democracy Prep Harlem Charter School</t>
  </si>
  <si>
    <t>DREAM Charter School (Combined)</t>
  </si>
  <si>
    <t>DREAM Charter School Mott Haven</t>
  </si>
  <si>
    <t>Elmwood Village Charter Schools (Combined)</t>
  </si>
  <si>
    <t>Harlem Village Academy West 2 Charter School</t>
  </si>
  <si>
    <t>Harlem Village Academy Charter School (Combined)</t>
  </si>
  <si>
    <t>KIPP Always Mentally Prepared Charter School</t>
  </si>
  <si>
    <t>KIPP Bronx Charter School II</t>
  </si>
  <si>
    <t>KIPP NYC Public Charter Schools II (Combined)</t>
  </si>
  <si>
    <t>KIPP Bronx Charter School III</t>
  </si>
  <si>
    <t>KIPP Freedom Charter School</t>
  </si>
  <si>
    <t>KIPP Infinity Charter School</t>
  </si>
  <si>
    <t>KIPP S.T.A.R. College Prep Charter School</t>
  </si>
  <si>
    <t>NYC Autism Charter Schools (Combined)</t>
  </si>
  <si>
    <t>Storefont Academy Charter School (Combined)</t>
  </si>
  <si>
    <t>Storefront Academy Harlem Charter School</t>
  </si>
  <si>
    <t>Truxton Academy Charter School</t>
  </si>
  <si>
    <t>University Prep Public Charter Schools (Combined)</t>
  </si>
  <si>
    <t>University Prep Charter Middle School</t>
  </si>
  <si>
    <t>Valence College Preparatory Charter School</t>
  </si>
  <si>
    <t>Zeta Charter School - Bronx 1</t>
  </si>
  <si>
    <t>Zeta Charter School - Inwood 1</t>
  </si>
  <si>
    <r>
      <t>Enter Yearly Budget information.  Includes:
&gt;"</t>
    </r>
    <r>
      <rPr>
        <b/>
        <sz val="11.5"/>
        <rFont val="Calibri"/>
        <family val="2"/>
        <scheme val="minor"/>
      </rPr>
      <t>Prior Year</t>
    </r>
    <r>
      <rPr>
        <sz val="11.5"/>
        <rFont val="Calibri"/>
        <family val="2"/>
        <scheme val="minor"/>
      </rPr>
      <t xml:space="preserve">" column may </t>
    </r>
    <r>
      <rPr>
        <i/>
        <u/>
        <sz val="11.5"/>
        <rFont val="Calibri"/>
        <family val="2"/>
        <scheme val="minor"/>
      </rPr>
      <t>initially</t>
    </r>
    <r>
      <rPr>
        <sz val="11.5"/>
        <rFont val="Calibri"/>
        <family val="2"/>
        <scheme val="minor"/>
      </rPr>
      <t xml:space="preserve"> be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 (Note: Quarterly Revenue allocation may be set)
&gt;Budgeted Enrollment data and Per Pupil Revenue for the current year are populated based upon input on tab "2.) Enrollment."
&gt;Budgeted FTE for current year is populated based upon input on tab "3.) Staffing Plan."
&gt;All other sources of revenue
&gt;All expenses
&gt;Budget Revisions, as necessary and </t>
    </r>
    <r>
      <rPr>
        <i/>
        <sz val="11.5"/>
        <rFont val="Calibri"/>
        <family val="2"/>
        <scheme val="minor"/>
      </rPr>
      <t>approved</t>
    </r>
    <r>
      <rPr>
        <sz val="11.5"/>
        <rFont val="Calibri"/>
        <family val="2"/>
        <scheme val="minor"/>
      </rPr>
      <t xml:space="preserve"> by the school's Board of Directors, should be submitted when submitting Quarterly Actuals.</t>
    </r>
  </si>
  <si>
    <r>
      <t>Enter Balance Sheet information for EdCorps.  Separate schools merged into a primary EdCorp should NOT use this tab.
&gt;"</t>
    </r>
    <r>
      <rPr>
        <b/>
        <sz val="11.5"/>
        <rFont val="Calibri"/>
        <family val="2"/>
        <scheme val="minor"/>
      </rPr>
      <t>Prior Yea</t>
    </r>
    <r>
      <rPr>
        <sz val="11.5"/>
        <rFont val="Calibri"/>
        <family val="2"/>
        <scheme val="minor"/>
      </rPr>
      <t xml:space="preserve">r" column may be </t>
    </r>
    <r>
      <rPr>
        <i/>
        <u/>
        <sz val="11.5"/>
        <rFont val="Calibri"/>
        <family val="2"/>
        <scheme val="minor"/>
      </rPr>
      <t>initially</t>
    </r>
    <r>
      <rPr>
        <sz val="11.5"/>
        <rFont val="Calibri"/>
        <family val="2"/>
        <scheme val="minor"/>
      </rPr>
      <t xml:space="preserv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t>
    </r>
  </si>
  <si>
    <r>
      <t>Enter staffing plan information for Annual Budget (&amp; Revisions) and Quarterly Actuals.  Includes:
&gt;Full Time Equivalent (FTE), by Position Category, By Quarter
&gt;"</t>
    </r>
    <r>
      <rPr>
        <b/>
        <sz val="11.5"/>
        <rFont val="Calibri"/>
        <family val="2"/>
        <scheme val="minor"/>
      </rPr>
      <t>Prior Year</t>
    </r>
    <r>
      <rPr>
        <sz val="11.5"/>
        <rFont val="Calibri"/>
        <family val="2"/>
        <scheme val="minor"/>
      </rPr>
      <t xml:space="preserve">" column may </t>
    </r>
    <r>
      <rPr>
        <i/>
        <u/>
        <sz val="11.5"/>
        <rFont val="Calibri"/>
        <family val="2"/>
        <scheme val="minor"/>
      </rPr>
      <t>initially</t>
    </r>
    <r>
      <rPr>
        <sz val="11.5"/>
        <rFont val="Calibri"/>
        <family val="2"/>
        <scheme val="minor"/>
      </rPr>
      <t xml:space="preserve"> be completed based upon preliminary data, and </t>
    </r>
    <r>
      <rPr>
        <i/>
        <u/>
        <sz val="11.5"/>
        <rFont val="Calibri"/>
        <family val="2"/>
        <scheme val="minor"/>
      </rPr>
      <t>subsequently</t>
    </r>
    <r>
      <rPr>
        <sz val="11.5"/>
        <rFont val="Calibri"/>
        <family val="2"/>
        <scheme val="minor"/>
      </rPr>
      <t xml:space="preserve"> adjusted with Annual Audited data when the Quarter 2 Actuals are being submitted.</t>
    </r>
  </si>
  <si>
    <t>SCHOOLS FOR WHICH TUITION SHOULD BE $0 (See Cell C52:C101 formulas)</t>
  </si>
  <si>
    <t>PY Actual (PY TY / No. of COMPLETED Actual CY Quarters)</t>
  </si>
  <si>
    <t>PPR</t>
  </si>
  <si>
    <t>TOTAL Per Pupil Revenue</t>
  </si>
  <si>
    <t>Weighted Avg PPR</t>
  </si>
  <si>
    <t>COVID-19 / CONTINGENCY</t>
  </si>
  <si>
    <t>Green Tech Charter School</t>
  </si>
  <si>
    <t>Brilla Veritas Charter School</t>
  </si>
  <si>
    <t>NYC Autism Charter School Bronx</t>
  </si>
  <si>
    <t>NYC Autism Charter School East Harlem</t>
  </si>
  <si>
    <t>East Brooklyn Ascend Charter School</t>
  </si>
  <si>
    <t>Academy Charter School - Uniondale, The</t>
  </si>
  <si>
    <t>Brilla Caritas Charter School</t>
  </si>
  <si>
    <t>Brilla Pax Charter School</t>
  </si>
  <si>
    <t>Capital Preparatory Bronx Charter School</t>
  </si>
  <si>
    <t>Lefferts Gardens Ascend Charter School</t>
  </si>
  <si>
    <t>East Flatbush Ascend Charter School</t>
  </si>
  <si>
    <t>Wildflower New York Charter school</t>
  </si>
  <si>
    <t>Lamad Academy Charter School</t>
  </si>
  <si>
    <t>Girls Preparatory Charter School of the Bronx II</t>
  </si>
  <si>
    <t>KIPP NYC Washington Heights Academy Charter School</t>
  </si>
  <si>
    <t>Capital Preparatory Harlem Charter School</t>
  </si>
  <si>
    <t>Buffalo Creek Academy Charter School</t>
  </si>
  <si>
    <t>Capital Prep Charter Schools NY (Combined)</t>
  </si>
  <si>
    <t>Budgeted PPR</t>
  </si>
  <si>
    <t>Sisulu-Walker Charter School of Harlem</t>
  </si>
  <si>
    <r>
      <t xml:space="preserve"> Select from drop-down list </t>
    </r>
    <r>
      <rPr>
        <sz val="10"/>
        <color theme="1"/>
        <rFont val="Calibri"/>
        <family val="2"/>
      </rPr>
      <t>→</t>
    </r>
  </si>
  <si>
    <t xml:space="preserve"> Select from drop-down list →</t>
  </si>
  <si>
    <t>570101</t>
  </si>
  <si>
    <t>410401</t>
  </si>
  <si>
    <t>080101</t>
  </si>
  <si>
    <t>142101</t>
  </si>
  <si>
    <t>010100</t>
  </si>
  <si>
    <t>450101</t>
  </si>
  <si>
    <t>140101</t>
  </si>
  <si>
    <t>180202</t>
  </si>
  <si>
    <t>220202</t>
  </si>
  <si>
    <t>020101</t>
  </si>
  <si>
    <t>040302</t>
  </si>
  <si>
    <t>460102</t>
  </si>
  <si>
    <t>580303</t>
  </si>
  <si>
    <t>140201</t>
  </si>
  <si>
    <t>580106</t>
  </si>
  <si>
    <t>270100</t>
  </si>
  <si>
    <t>120102</t>
  </si>
  <si>
    <t>020601</t>
  </si>
  <si>
    <t>660405</t>
  </si>
  <si>
    <t>640101</t>
  </si>
  <si>
    <t>571901</t>
  </si>
  <si>
    <t>131601</t>
  </si>
  <si>
    <t>670201</t>
  </si>
  <si>
    <t>050100</t>
  </si>
  <si>
    <t>090201</t>
  </si>
  <si>
    <t>491302</t>
  </si>
  <si>
    <t>570201</t>
  </si>
  <si>
    <t>240101</t>
  </si>
  <si>
    <t>580101</t>
  </si>
  <si>
    <t>080201</t>
  </si>
  <si>
    <t>280210</t>
  </si>
  <si>
    <t>420901</t>
  </si>
  <si>
    <t>521301</t>
  </si>
  <si>
    <t>401301</t>
  </si>
  <si>
    <t>180300</t>
  </si>
  <si>
    <t>570302</t>
  </si>
  <si>
    <t>580501</t>
  </si>
  <si>
    <t>580505</t>
  </si>
  <si>
    <t>130200</t>
  </si>
  <si>
    <t>231301</t>
  </si>
  <si>
    <t>660102</t>
  </si>
  <si>
    <t>090301</t>
  </si>
  <si>
    <t>020801</t>
  </si>
  <si>
    <t>220909</t>
  </si>
  <si>
    <t>280207</t>
  </si>
  <si>
    <t>280253</t>
  </si>
  <si>
    <t>061001</t>
  </si>
  <si>
    <t>490101</t>
  </si>
  <si>
    <t>010201</t>
  </si>
  <si>
    <t>010306</t>
  </si>
  <si>
    <t>280521</t>
  </si>
  <si>
    <t>030200</t>
  </si>
  <si>
    <t>661905</t>
  </si>
  <si>
    <t>022902</t>
  </si>
  <si>
    <t>630101</t>
  </si>
  <si>
    <t>151801</t>
  </si>
  <si>
    <t>570401</t>
  </si>
  <si>
    <t>510101</t>
  </si>
  <si>
    <t>580512</t>
  </si>
  <si>
    <t>480601</t>
  </si>
  <si>
    <t>661402</t>
  </si>
  <si>
    <t>580909</t>
  </si>
  <si>
    <t>260101</t>
  </si>
  <si>
    <t>171102</t>
  </si>
  <si>
    <t>261801</t>
  </si>
  <si>
    <t>062301</t>
  </si>
  <si>
    <t>660303</t>
  </si>
  <si>
    <t>250109</t>
  </si>
  <si>
    <t>580203</t>
  </si>
  <si>
    <t>490202</t>
  </si>
  <si>
    <t>161601</t>
  </si>
  <si>
    <t>140600</t>
  </si>
  <si>
    <t>520101</t>
  </si>
  <si>
    <t>661201</t>
  </si>
  <si>
    <t>180701</t>
  </si>
  <si>
    <t>190301</t>
  </si>
  <si>
    <t>240201</t>
  </si>
  <si>
    <t>641610</t>
  </si>
  <si>
    <t>410601</t>
  </si>
  <si>
    <t>570603</t>
  </si>
  <si>
    <t>270301</t>
  </si>
  <si>
    <t>430300</t>
  </si>
  <si>
    <t>021102</t>
  </si>
  <si>
    <t>250901</t>
  </si>
  <si>
    <t>600301</t>
  </si>
  <si>
    <t>571502</t>
  </si>
  <si>
    <t>510201</t>
  </si>
  <si>
    <t>280411</t>
  </si>
  <si>
    <t>480102</t>
  </si>
  <si>
    <t>222201</t>
  </si>
  <si>
    <t>060401</t>
  </si>
  <si>
    <t>050401</t>
  </si>
  <si>
    <t>190401</t>
  </si>
  <si>
    <t>042302</t>
  </si>
  <si>
    <t>250201</t>
  </si>
  <si>
    <t>580233</t>
  </si>
  <si>
    <t>580513</t>
  </si>
  <si>
    <t>460801</t>
  </si>
  <si>
    <t>212101</t>
  </si>
  <si>
    <t>661004</t>
  </si>
  <si>
    <t>120401</t>
  </si>
  <si>
    <t>160801</t>
  </si>
  <si>
    <t>101001</t>
  </si>
  <si>
    <t>060503</t>
  </si>
  <si>
    <t>090601</t>
  </si>
  <si>
    <t>140701</t>
  </si>
  <si>
    <t>140702</t>
  </si>
  <si>
    <t>140709</t>
  </si>
  <si>
    <t>030101</t>
  </si>
  <si>
    <t>030701</t>
  </si>
  <si>
    <t>472202</t>
  </si>
  <si>
    <t>440201</t>
  </si>
  <si>
    <t>251601</t>
  </si>
  <si>
    <t>261501</t>
  </si>
  <si>
    <t>110101</t>
  </si>
  <si>
    <t>140801</t>
  </si>
  <si>
    <t>500101</t>
  </si>
  <si>
    <t>140703</t>
  </si>
  <si>
    <t>510401</t>
  </si>
  <si>
    <t>411101</t>
  </si>
  <si>
    <t>650301</t>
  </si>
  <si>
    <t>060701</t>
  </si>
  <si>
    <t>541102</t>
  </si>
  <si>
    <t>010500</t>
  </si>
  <si>
    <t>580402</t>
  </si>
  <si>
    <t>510501</t>
  </si>
  <si>
    <t>580410</t>
  </si>
  <si>
    <t>580507</t>
  </si>
  <si>
    <t>471701</t>
  </si>
  <si>
    <t>230201</t>
  </si>
  <si>
    <t>580105</t>
  </si>
  <si>
    <t>520401</t>
  </si>
  <si>
    <t>571000</t>
  </si>
  <si>
    <t>440301</t>
  </si>
  <si>
    <t>110200</t>
  </si>
  <si>
    <t>190501</t>
  </si>
  <si>
    <t>660202</t>
  </si>
  <si>
    <t>150203</t>
  </si>
  <si>
    <t>022302</t>
  </si>
  <si>
    <t>241101</t>
  </si>
  <si>
    <t>241001</t>
  </si>
  <si>
    <t>580107</t>
  </si>
  <si>
    <t>120501</t>
  </si>
  <si>
    <t>140707</t>
  </si>
  <si>
    <t>031301</t>
  </si>
  <si>
    <t>250301</t>
  </si>
  <si>
    <t>660403</t>
  </si>
  <si>
    <t>211003</t>
  </si>
  <si>
    <t>130502</t>
  </si>
  <si>
    <t>120301</t>
  </si>
  <si>
    <t>610301</t>
  </si>
  <si>
    <t>530101</t>
  </si>
  <si>
    <t>680801</t>
  </si>
  <si>
    <t>060800</t>
  </si>
  <si>
    <t>140301</t>
  </si>
  <si>
    <t>430501</t>
  </si>
  <si>
    <t>490301</t>
  </si>
  <si>
    <t>580301</t>
  </si>
  <si>
    <t>260801</t>
  </si>
  <si>
    <t>580503</t>
  </si>
  <si>
    <t>280203</t>
  </si>
  <si>
    <t>580234</t>
  </si>
  <si>
    <t>580917</t>
  </si>
  <si>
    <t>500402</t>
  </si>
  <si>
    <t>261313</t>
  </si>
  <si>
    <t>280219</t>
  </si>
  <si>
    <t>420401</t>
  </si>
  <si>
    <t>280402</t>
  </si>
  <si>
    <t>660301</t>
  </si>
  <si>
    <t>580912</t>
  </si>
  <si>
    <t>141201</t>
  </si>
  <si>
    <t>660406</t>
  </si>
  <si>
    <t>520601</t>
  </si>
  <si>
    <t>470501</t>
  </si>
  <si>
    <t>513102</t>
  </si>
  <si>
    <t>180901</t>
  </si>
  <si>
    <t>590801</t>
  </si>
  <si>
    <t>622002</t>
  </si>
  <si>
    <t>040901</t>
  </si>
  <si>
    <t>070600</t>
  </si>
  <si>
    <t>070902</t>
  </si>
  <si>
    <t>280216</t>
  </si>
  <si>
    <t>660409</t>
  </si>
  <si>
    <t>580401</t>
  </si>
  <si>
    <t>141401</t>
  </si>
  <si>
    <t>420601</t>
  </si>
  <si>
    <t>261301</t>
  </si>
  <si>
    <t>061101</t>
  </si>
  <si>
    <t>590501</t>
  </si>
  <si>
    <t>280522</t>
  </si>
  <si>
    <t>421001</t>
  </si>
  <si>
    <t>022001</t>
  </si>
  <si>
    <t>580514</t>
  </si>
  <si>
    <t>581004</t>
  </si>
  <si>
    <t>280222</t>
  </si>
  <si>
    <t>442115</t>
  </si>
  <si>
    <t>270601</t>
  </si>
  <si>
    <t>061503</t>
  </si>
  <si>
    <t>640502</t>
  </si>
  <si>
    <t>640601</t>
  </si>
  <si>
    <t>270701</t>
  </si>
  <si>
    <t>210402</t>
  </si>
  <si>
    <t>120701</t>
  </si>
  <si>
    <t>280217</t>
  </si>
  <si>
    <t>041101</t>
  </si>
  <si>
    <t>062201</t>
  </si>
  <si>
    <t>280209</t>
  </si>
  <si>
    <t>060301</t>
  </si>
  <si>
    <t>021601</t>
  </si>
  <si>
    <t>141604</t>
  </si>
  <si>
    <t>460500</t>
  </si>
  <si>
    <t>520701</t>
  </si>
  <si>
    <t>650902</t>
  </si>
  <si>
    <t>280218</t>
  </si>
  <si>
    <t>480404</t>
  </si>
  <si>
    <t>260401</t>
  </si>
  <si>
    <t>220401</t>
  </si>
  <si>
    <t>020702</t>
  </si>
  <si>
    <t>240401</t>
  </si>
  <si>
    <t>430700</t>
  </si>
  <si>
    <t>081401</t>
  </si>
  <si>
    <t>100902</t>
  </si>
  <si>
    <t>470202</t>
  </si>
  <si>
    <t>540801</t>
  </si>
  <si>
    <t>280100</t>
  </si>
  <si>
    <t>630300</t>
  </si>
  <si>
    <t>630918</t>
  </si>
  <si>
    <t>170500</t>
  </si>
  <si>
    <t>430901</t>
  </si>
  <si>
    <t>440601</t>
  </si>
  <si>
    <t>511101</t>
  </si>
  <si>
    <t>042801</t>
  </si>
  <si>
    <t>141501</t>
  </si>
  <si>
    <t>640701</t>
  </si>
  <si>
    <t>280407</t>
  </si>
  <si>
    <t>260501</t>
  </si>
  <si>
    <t>010701</t>
  </si>
  <si>
    <t>660407</t>
  </si>
  <si>
    <t>080601</t>
  </si>
  <si>
    <t>581010</t>
  </si>
  <si>
    <t>190701</t>
  </si>
  <si>
    <t>640801</t>
  </si>
  <si>
    <t>442111</t>
  </si>
  <si>
    <t>610501</t>
  </si>
  <si>
    <t>010802</t>
  </si>
  <si>
    <t>630801</t>
  </si>
  <si>
    <t>480401</t>
  </si>
  <si>
    <t>580405</t>
  </si>
  <si>
    <t>141601</t>
  </si>
  <si>
    <t>250701</t>
  </si>
  <si>
    <t>511201</t>
  </si>
  <si>
    <t>572901</t>
  </si>
  <si>
    <t>580905</t>
  </si>
  <si>
    <t>120906</t>
  </si>
  <si>
    <t>460701</t>
  </si>
  <si>
    <t>580406</t>
  </si>
  <si>
    <t>030501</t>
  </si>
  <si>
    <t>660501</t>
  </si>
  <si>
    <t>230301</t>
  </si>
  <si>
    <t>641001</t>
  </si>
  <si>
    <t>660404</t>
  </si>
  <si>
    <t>580506</t>
  </si>
  <si>
    <t>500201</t>
  </si>
  <si>
    <t>280201</t>
  </si>
  <si>
    <t>660203</t>
  </si>
  <si>
    <t>210601</t>
  </si>
  <si>
    <t>511301</t>
  </si>
  <si>
    <t>280409</t>
  </si>
  <si>
    <t>512404</t>
  </si>
  <si>
    <t>280214</t>
  </si>
  <si>
    <t>280517</t>
  </si>
  <si>
    <t>620803</t>
  </si>
  <si>
    <t>440901</t>
  </si>
  <si>
    <t>261101</t>
  </si>
  <si>
    <t>041401</t>
  </si>
  <si>
    <t>141701</t>
  </si>
  <si>
    <t>412201</t>
  </si>
  <si>
    <t>450704</t>
  </si>
  <si>
    <t>110701</t>
  </si>
  <si>
    <t>431401</t>
  </si>
  <si>
    <t>260901</t>
  </si>
  <si>
    <t>491401</t>
  </si>
  <si>
    <t>490501</t>
  </si>
  <si>
    <t>571800</t>
  </si>
  <si>
    <t>070901</t>
  </si>
  <si>
    <t>101300</t>
  </si>
  <si>
    <t>641301</t>
  </si>
  <si>
    <t>190901</t>
  </si>
  <si>
    <t>580403</t>
  </si>
  <si>
    <t>130801</t>
  </si>
  <si>
    <t>200401</t>
  </si>
  <si>
    <t>220301</t>
  </si>
  <si>
    <t>200501</t>
  </si>
  <si>
    <t>141301</t>
  </si>
  <si>
    <t>660402</t>
  </si>
  <si>
    <t>280231</t>
  </si>
  <si>
    <t>280226</t>
  </si>
  <si>
    <t>580502</t>
  </si>
  <si>
    <t>610600</t>
  </si>
  <si>
    <t>061700</t>
  </si>
  <si>
    <t>420411</t>
  </si>
  <si>
    <t>572702</t>
  </si>
  <si>
    <t>540901</t>
  </si>
  <si>
    <t>280515</t>
  </si>
  <si>
    <t>630601</t>
  </si>
  <si>
    <t>031502</t>
  </si>
  <si>
    <t>170600</t>
  </si>
  <si>
    <t>420501</t>
  </si>
  <si>
    <t>660101</t>
  </si>
  <si>
    <t>150601</t>
  </si>
  <si>
    <t>450607</t>
  </si>
  <si>
    <t>142601</t>
  </si>
  <si>
    <t>101401</t>
  </si>
  <si>
    <t>580805</t>
  </si>
  <si>
    <t>620600</t>
  </si>
  <si>
    <t>441202</t>
  </si>
  <si>
    <t>221401</t>
  </si>
  <si>
    <t>141800</t>
  </si>
  <si>
    <t>420807</t>
  </si>
  <si>
    <t>630701</t>
  </si>
  <si>
    <t>151102</t>
  </si>
  <si>
    <t>200601</t>
  </si>
  <si>
    <t>662401</t>
  </si>
  <si>
    <t>141901</t>
  </si>
  <si>
    <t>610801</t>
  </si>
  <si>
    <t>490601</t>
  </si>
  <si>
    <t>470801</t>
  </si>
  <si>
    <t>280215</t>
  </si>
  <si>
    <t>181001</t>
  </si>
  <si>
    <t>670401</t>
  </si>
  <si>
    <t>280205</t>
  </si>
  <si>
    <t>400301</t>
  </si>
  <si>
    <t>590901</t>
  </si>
  <si>
    <t>580104</t>
  </si>
  <si>
    <t>511602</t>
  </si>
  <si>
    <t>210800</t>
  </si>
  <si>
    <t>421501</t>
  </si>
  <si>
    <t>591302</t>
  </si>
  <si>
    <t>240801</t>
  </si>
  <si>
    <t>400400</t>
  </si>
  <si>
    <t>280503</t>
  </si>
  <si>
    <t>280300</t>
  </si>
  <si>
    <t>200701</t>
  </si>
  <si>
    <t>580212</t>
  </si>
  <si>
    <t>230901</t>
  </si>
  <si>
    <t>221301</t>
  </si>
  <si>
    <t>280220</t>
  </si>
  <si>
    <t>421504</t>
  </si>
  <si>
    <t>451001</t>
  </si>
  <si>
    <t>650501</t>
  </si>
  <si>
    <t>251101</t>
  </si>
  <si>
    <t>511901</t>
  </si>
  <si>
    <t>480101</t>
  </si>
  <si>
    <t>031101</t>
  </si>
  <si>
    <t>161501</t>
  </si>
  <si>
    <t>280212</t>
  </si>
  <si>
    <t>660701</t>
  </si>
  <si>
    <t>431101</t>
  </si>
  <si>
    <t>280406</t>
  </si>
  <si>
    <t>110901</t>
  </si>
  <si>
    <t>421101</t>
  </si>
  <si>
    <t>121401</t>
  </si>
  <si>
    <t>650701</t>
  </si>
  <si>
    <t>621001</t>
  </si>
  <si>
    <t>280523</t>
  </si>
  <si>
    <t>512001</t>
  </si>
  <si>
    <t>581012</t>
  </si>
  <si>
    <t>170801</t>
  </si>
  <si>
    <t>110304</t>
  </si>
  <si>
    <t>521200</t>
  </si>
  <si>
    <t>450801</t>
  </si>
  <si>
    <t>010615</t>
  </si>
  <si>
    <t>280225</t>
  </si>
  <si>
    <t>460901</t>
  </si>
  <si>
    <t>580211</t>
  </si>
  <si>
    <t>541001</t>
  </si>
  <si>
    <t>441000</t>
  </si>
  <si>
    <t>471101</t>
  </si>
  <si>
    <t>132201</t>
  </si>
  <si>
    <t>580208</t>
  </si>
  <si>
    <t>280410</t>
  </si>
  <si>
    <t>150801</t>
  </si>
  <si>
    <t>441101</t>
  </si>
  <si>
    <t>441201</t>
  </si>
  <si>
    <t>580306</t>
  </si>
  <si>
    <t>591401</t>
  </si>
  <si>
    <t>051301</t>
  </si>
  <si>
    <t>150901</t>
  </si>
  <si>
    <t>471201</t>
  </si>
  <si>
    <t>512101</t>
  </si>
  <si>
    <t>250401</t>
  </si>
  <si>
    <t>212001</t>
  </si>
  <si>
    <t>240901</t>
  </si>
  <si>
    <t>660801</t>
  </si>
  <si>
    <t>580207</t>
  </si>
  <si>
    <t>660900</t>
  </si>
  <si>
    <t>500108</t>
  </si>
  <si>
    <t>431201</t>
  </si>
  <si>
    <t>411501</t>
  </si>
  <si>
    <t>280405</t>
  </si>
  <si>
    <t>101601</t>
  </si>
  <si>
    <t>621101</t>
  </si>
  <si>
    <t>661100</t>
  </si>
  <si>
    <t>581015</t>
  </si>
  <si>
    <t>650101</t>
  </si>
  <si>
    <t>600402</t>
  </si>
  <si>
    <t>441600</t>
  </si>
  <si>
    <t>151001</t>
  </si>
  <si>
    <t>400601</t>
  </si>
  <si>
    <t>610901</t>
  </si>
  <si>
    <t>400800</t>
  </si>
  <si>
    <t>400701</t>
  </si>
  <si>
    <t>530301</t>
  </si>
  <si>
    <t>580103</t>
  </si>
  <si>
    <t>280204</t>
  </si>
  <si>
    <t>142201</t>
  </si>
  <si>
    <t>010623</t>
  </si>
  <si>
    <t>490801</t>
  </si>
  <si>
    <t>280229</t>
  </si>
  <si>
    <t>651501</t>
  </si>
  <si>
    <t>661301</t>
  </si>
  <si>
    <t>280501</t>
  </si>
  <si>
    <t>420303</t>
  </si>
  <si>
    <t>400900</t>
  </si>
  <si>
    <t>630202</t>
  </si>
  <si>
    <t>131101</t>
  </si>
  <si>
    <t>090501</t>
  </si>
  <si>
    <t>090901</t>
  </si>
  <si>
    <t>580404</t>
  </si>
  <si>
    <t>170901</t>
  </si>
  <si>
    <t>081200</t>
  </si>
  <si>
    <t>512201</t>
  </si>
  <si>
    <t>411504</t>
  </si>
  <si>
    <t>500304</t>
  </si>
  <si>
    <t>300000</t>
  </si>
  <si>
    <t>181101</t>
  </si>
  <si>
    <t>280211</t>
  </si>
  <si>
    <t>550101</t>
  </si>
  <si>
    <t>512300</t>
  </si>
  <si>
    <t>042400</t>
  </si>
  <si>
    <t>251400</t>
  </si>
  <si>
    <t>471400</t>
  </si>
  <si>
    <t>421201</t>
  </si>
  <si>
    <t>621201</t>
  </si>
  <si>
    <t>271201</t>
  </si>
  <si>
    <t>142301</t>
  </si>
  <si>
    <t>412901</t>
  </si>
  <si>
    <t>661401</t>
  </si>
  <si>
    <t>461300</t>
  </si>
  <si>
    <t>471601</t>
  </si>
  <si>
    <t>600601</t>
  </si>
  <si>
    <t>081501</t>
  </si>
  <si>
    <t>280506</t>
  </si>
  <si>
    <t>581002</t>
  </si>
  <si>
    <t>650901</t>
  </si>
  <si>
    <t>061601</t>
  </si>
  <si>
    <t>512501</t>
  </si>
  <si>
    <t>580224</t>
  </si>
  <si>
    <t>181201</t>
  </si>
  <si>
    <t>131201</t>
  </si>
  <si>
    <t>500308</t>
  </si>
  <si>
    <t>661500</t>
  </si>
  <si>
    <t>661601</t>
  </si>
  <si>
    <t>181302</t>
  </si>
  <si>
    <t>261201</t>
  </si>
  <si>
    <t>680601</t>
  </si>
  <si>
    <t>671201</t>
  </si>
  <si>
    <t>091101</t>
  </si>
  <si>
    <t>431301</t>
  </si>
  <si>
    <t>462001</t>
  </si>
  <si>
    <t>440401</t>
  </si>
  <si>
    <t>131301</t>
  </si>
  <si>
    <t>060601</t>
  </si>
  <si>
    <t>261401</t>
  </si>
  <si>
    <t>280518</t>
  </si>
  <si>
    <t>280504</t>
  </si>
  <si>
    <t>091200</t>
  </si>
  <si>
    <t>660809</t>
  </si>
  <si>
    <t>660802</t>
  </si>
  <si>
    <t>211103</t>
  </si>
  <si>
    <t>051101</t>
  </si>
  <si>
    <t>661904</t>
  </si>
  <si>
    <t>580206</t>
  </si>
  <si>
    <t>441800</t>
  </si>
  <si>
    <t>280404</t>
  </si>
  <si>
    <t>042901</t>
  </si>
  <si>
    <t>512902</t>
  </si>
  <si>
    <t>131500</t>
  </si>
  <si>
    <t>572301</t>
  </si>
  <si>
    <t>461801</t>
  </si>
  <si>
    <t>641401</t>
  </si>
  <si>
    <t>480503</t>
  </si>
  <si>
    <t>630902</t>
  </si>
  <si>
    <t>580903</t>
  </si>
  <si>
    <t>500401</t>
  </si>
  <si>
    <t>043001</t>
  </si>
  <si>
    <t>010402</t>
  </si>
  <si>
    <t>651503</t>
  </si>
  <si>
    <t>131701</t>
  </si>
  <si>
    <t>411701</t>
  </si>
  <si>
    <t>580901</t>
  </si>
  <si>
    <t>491200</t>
  </si>
  <si>
    <t>131801</t>
  </si>
  <si>
    <t>472001</t>
  </si>
  <si>
    <t>062401</t>
  </si>
  <si>
    <t>580602</t>
  </si>
  <si>
    <t>261600</t>
  </si>
  <si>
    <t>280221</t>
  </si>
  <si>
    <t>580209</t>
  </si>
  <si>
    <t>411800</t>
  </si>
  <si>
    <t>560603</t>
  </si>
  <si>
    <t>620901</t>
  </si>
  <si>
    <t>280208</t>
  </si>
  <si>
    <t>591301</t>
  </si>
  <si>
    <t>280403</t>
  </si>
  <si>
    <t>530515</t>
  </si>
  <si>
    <t>121502</t>
  </si>
  <si>
    <t>401201</t>
  </si>
  <si>
    <t>261701</t>
  </si>
  <si>
    <t>661800</t>
  </si>
  <si>
    <t>661901</t>
  </si>
  <si>
    <t>580205</t>
  </si>
  <si>
    <t>221001</t>
  </si>
  <si>
    <t>580305</t>
  </si>
  <si>
    <t>580910</t>
  </si>
  <si>
    <t>043200</t>
  </si>
  <si>
    <t>641501</t>
  </si>
  <si>
    <t>161201</t>
  </si>
  <si>
    <t>461901</t>
  </si>
  <si>
    <t>091402</t>
  </si>
  <si>
    <t>161401</t>
  </si>
  <si>
    <t>521800</t>
  </si>
  <si>
    <t>621601</t>
  </si>
  <si>
    <t>411603</t>
  </si>
  <si>
    <t>580504</t>
  </si>
  <si>
    <t>662001</t>
  </si>
  <si>
    <t>530501</t>
  </si>
  <si>
    <t>530600</t>
  </si>
  <si>
    <t>470901</t>
  </si>
  <si>
    <t>491501</t>
  </si>
  <si>
    <t>541201</t>
  </si>
  <si>
    <t>151401</t>
  </si>
  <si>
    <t>521701</t>
  </si>
  <si>
    <t>022401</t>
  </si>
  <si>
    <t>530202</t>
  </si>
  <si>
    <t>280206</t>
  </si>
  <si>
    <t>560701</t>
  </si>
  <si>
    <t>280252</t>
  </si>
  <si>
    <t>541401</t>
  </si>
  <si>
    <t>580701</t>
  </si>
  <si>
    <t>520302</t>
  </si>
  <si>
    <t>082001</t>
  </si>
  <si>
    <t>062601</t>
  </si>
  <si>
    <t>412000</t>
  </si>
  <si>
    <t>580601</t>
  </si>
  <si>
    <t>121601</t>
  </si>
  <si>
    <t>061501</t>
  </si>
  <si>
    <t>421601</t>
  </si>
  <si>
    <t>580801</t>
  </si>
  <si>
    <t>651201</t>
  </si>
  <si>
    <t>420702</t>
  </si>
  <si>
    <t>662101</t>
  </si>
  <si>
    <t>010601</t>
  </si>
  <si>
    <t>580235</t>
  </si>
  <si>
    <t>521401</t>
  </si>
  <si>
    <t>580413</t>
  </si>
  <si>
    <t>220101</t>
  </si>
  <si>
    <t>121702</t>
  </si>
  <si>
    <t>231101</t>
  </si>
  <si>
    <t>500301</t>
  </si>
  <si>
    <t>560501</t>
  </si>
  <si>
    <t>580906</t>
  </si>
  <si>
    <t>050701</t>
  </si>
  <si>
    <t>581005</t>
  </si>
  <si>
    <t>060201</t>
  </si>
  <si>
    <t>131602</t>
  </si>
  <si>
    <t>261001</t>
  </si>
  <si>
    <t>600801</t>
  </si>
  <si>
    <t>580304</t>
  </si>
  <si>
    <t>141101</t>
  </si>
  <si>
    <t>161801</t>
  </si>
  <si>
    <t>121701</t>
  </si>
  <si>
    <t>401001</t>
  </si>
  <si>
    <t>522001</t>
  </si>
  <si>
    <t>251501</t>
  </si>
  <si>
    <t>591502</t>
  </si>
  <si>
    <t>030601</t>
  </si>
  <si>
    <t>140207</t>
  </si>
  <si>
    <t>280502</t>
  </si>
  <si>
    <t>421800</t>
  </si>
  <si>
    <t>100501</t>
  </si>
  <si>
    <t>220701</t>
  </si>
  <si>
    <t>580201</t>
  </si>
  <si>
    <t>151501</t>
  </si>
  <si>
    <t>600903</t>
  </si>
  <si>
    <t>142500</t>
  </si>
  <si>
    <t>211901</t>
  </si>
  <si>
    <t>591201</t>
  </si>
  <si>
    <t>491700</t>
  </si>
  <si>
    <t>611001</t>
  </si>
  <si>
    <t>580913</t>
  </si>
  <si>
    <t>660302</t>
  </si>
  <si>
    <t>421902</t>
  </si>
  <si>
    <t>160101</t>
  </si>
  <si>
    <t>441903</t>
  </si>
  <si>
    <t>660401</t>
  </si>
  <si>
    <t>081003</t>
  </si>
  <si>
    <t>051901</t>
  </si>
  <si>
    <t>280202</t>
  </si>
  <si>
    <t>031501</t>
  </si>
  <si>
    <t>412300</t>
  </si>
  <si>
    <t>660805</t>
  </si>
  <si>
    <t>441301</t>
  </si>
  <si>
    <t>280213</t>
  </si>
  <si>
    <t>280224</t>
  </si>
  <si>
    <t>280230</t>
  </si>
  <si>
    <t>280251</t>
  </si>
  <si>
    <t>211701</t>
  </si>
  <si>
    <t>031601</t>
  </si>
  <si>
    <t>431701</t>
  </si>
  <si>
    <t>011003</t>
  </si>
  <si>
    <t>580302</t>
  </si>
  <si>
    <t>621801</t>
  </si>
  <si>
    <t>121901</t>
  </si>
  <si>
    <t>280223</t>
  </si>
  <si>
    <t>132101</t>
  </si>
  <si>
    <t>631201</t>
  </si>
  <si>
    <t>671501</t>
  </si>
  <si>
    <t>442101</t>
  </si>
  <si>
    <t>440102</t>
  </si>
  <si>
    <t>522101</t>
  </si>
  <si>
    <t>561006</t>
  </si>
  <si>
    <t>222000</t>
  </si>
  <si>
    <t>411902</t>
  </si>
  <si>
    <t>011200</t>
  </si>
  <si>
    <t>550301</t>
  </si>
  <si>
    <t>600101</t>
  </si>
  <si>
    <t>573002</t>
  </si>
  <si>
    <t>650801</t>
  </si>
  <si>
    <t>261901</t>
  </si>
  <si>
    <t>050301</t>
  </si>
  <si>
    <t>200901</t>
  </si>
  <si>
    <t>022601</t>
  </si>
  <si>
    <t>580102</t>
  </si>
  <si>
    <t>210302</t>
  </si>
  <si>
    <t>420101</t>
  </si>
  <si>
    <t>280227</t>
  </si>
  <si>
    <t>260803</t>
  </si>
  <si>
    <t>580509</t>
  </si>
  <si>
    <t>142801</t>
  </si>
  <si>
    <t>040204</t>
  </si>
  <si>
    <t>280401</t>
  </si>
  <si>
    <t>062901</t>
  </si>
  <si>
    <t>580902</t>
  </si>
  <si>
    <t>420701</t>
  </si>
  <si>
    <t>412801</t>
  </si>
  <si>
    <t>262001</t>
  </si>
  <si>
    <t>170301</t>
  </si>
  <si>
    <t>662200</t>
  </si>
  <si>
    <t>641701</t>
  </si>
  <si>
    <t>412902</t>
  </si>
  <si>
    <t>022101</t>
  </si>
  <si>
    <t>031401</t>
  </si>
  <si>
    <t>580232</t>
  </si>
  <si>
    <t>651402</t>
  </si>
  <si>
    <t>140203</t>
  </si>
  <si>
    <t>151701</t>
  </si>
  <si>
    <t>401501</t>
  </si>
  <si>
    <t>191401</t>
  </si>
  <si>
    <t>031701</t>
  </si>
  <si>
    <t>472506</t>
  </si>
  <si>
    <t>580109</t>
  </si>
  <si>
    <t>490804</t>
  </si>
  <si>
    <t>671002</t>
  </si>
  <si>
    <t>662300</t>
  </si>
  <si>
    <t>241701</t>
  </si>
  <si>
    <t>043501</t>
  </si>
  <si>
    <t>662402</t>
  </si>
  <si>
    <t>KIPP Beyond Charter School</t>
  </si>
  <si>
    <t>Earl Monroe New Renaissance Basketball Charter School</t>
  </si>
  <si>
    <t>Buffalo Commons Charter School</t>
  </si>
  <si>
    <t>Zeta Charter School - Mount Eden</t>
  </si>
  <si>
    <t>Zeta Charter School - Tremont Park</t>
  </si>
  <si>
    <t>Amber Charter School Inwood</t>
  </si>
  <si>
    <t xml:space="preserve">Achievement First Legacy Charter School </t>
  </si>
  <si>
    <t>Leaders In Our Neighborhood Charter School</t>
  </si>
  <si>
    <t>Achievement First Charter School 11</t>
  </si>
  <si>
    <t>Destine Preparatory Charter School</t>
  </si>
  <si>
    <t>DREAM Charter School Highbridge</t>
  </si>
  <si>
    <t>Family Life Academy Charter Schools High School</t>
  </si>
  <si>
    <t>Genessee Community Charter School - Flour City Campus</t>
  </si>
  <si>
    <t>Brooklyn Prospect Charter School - CSD 13.2</t>
  </si>
  <si>
    <t>Intellectus Preparatory Charter School</t>
  </si>
  <si>
    <t>Little Water Preparatory Charter School</t>
  </si>
  <si>
    <t>Our World Neighborhood Charter School 3</t>
  </si>
  <si>
    <t>Rochester Academy of Science Charter School</t>
  </si>
  <si>
    <t>South Shore Charter School</t>
  </si>
  <si>
    <t>Success Academy Charter School - NYC 3</t>
  </si>
  <si>
    <t>Success Academy Charter School - NYC 11</t>
  </si>
  <si>
    <t>Academy Charter School - Wyandanch, The</t>
  </si>
  <si>
    <t>KIPP Troy Prep Charter School</t>
  </si>
  <si>
    <t>KIPP Albany Community Charter School</t>
  </si>
  <si>
    <t>KIPP Capital Region Public Charter Schools</t>
  </si>
  <si>
    <t>Right of Use Asset</t>
  </si>
  <si>
    <t>Lease Liability</t>
  </si>
  <si>
    <t>LEASE LIABILITY, less current portion</t>
  </si>
  <si>
    <t>Abraham Wing School</t>
  </si>
  <si>
    <t>Addison Central School District</t>
  </si>
  <si>
    <t>Adirondack Central School District</t>
  </si>
  <si>
    <t>Afton Central School District</t>
  </si>
  <si>
    <t>Akron Central School District</t>
  </si>
  <si>
    <t>Albany City School District</t>
  </si>
  <si>
    <t>Albion Central School District</t>
  </si>
  <si>
    <t>Alden Central School District</t>
  </si>
  <si>
    <t>Alexander Central School District</t>
  </si>
  <si>
    <t>Alexandria Central School District</t>
  </si>
  <si>
    <t>Alfred-Almond Central School District</t>
  </si>
  <si>
    <t>Allegany-Limestone Central School District</t>
  </si>
  <si>
    <t>Altmar-Parish-Williamstown Central School District</t>
  </si>
  <si>
    <t>Amagansett Union Free School District</t>
  </si>
  <si>
    <t>Amherst Central School District</t>
  </si>
  <si>
    <t>Amityville Union Free School District</t>
  </si>
  <si>
    <t>Amsterdam City School District</t>
  </si>
  <si>
    <t>Andes Central School District</t>
  </si>
  <si>
    <t>Andover Central School District</t>
  </si>
  <si>
    <t>Ardsley Union Free School District</t>
  </si>
  <si>
    <t>Argyle Central School District</t>
  </si>
  <si>
    <t>Arkport Central School District</t>
  </si>
  <si>
    <t>Arlington Central School District</t>
  </si>
  <si>
    <t>Attica Central School District</t>
  </si>
  <si>
    <t>Auburn Enlarged City School District</t>
  </si>
  <si>
    <t>AuSable Valley Central School District</t>
  </si>
  <si>
    <t>Averill Park Central School District</t>
  </si>
  <si>
    <t>Avoca Central School District</t>
  </si>
  <si>
    <t>Avon Central School District</t>
  </si>
  <si>
    <t>Babylon Union Free School District</t>
  </si>
  <si>
    <t>Bainbridge-Guilford Central School District</t>
  </si>
  <si>
    <t>Baldwin Union Free School District</t>
  </si>
  <si>
    <t>Baldwinsville Central School District</t>
  </si>
  <si>
    <t>Ballston Spa Central School District</t>
  </si>
  <si>
    <t>Barker Central School District</t>
  </si>
  <si>
    <t>Batavia City School District</t>
  </si>
  <si>
    <t>Bath Central School District</t>
  </si>
  <si>
    <t>Bay Shore Union Free School District</t>
  </si>
  <si>
    <t>Bayport-Blue Point Union Free School District</t>
  </si>
  <si>
    <t>Beacon City School District</t>
  </si>
  <si>
    <t>Beaver River Central School District</t>
  </si>
  <si>
    <t>Bedford Central School District</t>
  </si>
  <si>
    <t>Beekmantown Central School District</t>
  </si>
  <si>
    <t>Belfast Central School District</t>
  </si>
  <si>
    <t>Belleville Henderson Central School District</t>
  </si>
  <si>
    <t>Bellmore Union Free School District</t>
  </si>
  <si>
    <t>Bellmore-Merrick Central High School District</t>
  </si>
  <si>
    <t>Bemus Point Central School District</t>
  </si>
  <si>
    <t>Berlin Central School District</t>
  </si>
  <si>
    <t>Berne-Knox-Westerlo Central School District</t>
  </si>
  <si>
    <t>Bethlehem Central School District</t>
  </si>
  <si>
    <t>Bethpage Union Free School District</t>
  </si>
  <si>
    <t>Binghamton City School District</t>
  </si>
  <si>
    <t>Blind Brook-Rye Union Free School District</t>
  </si>
  <si>
    <t>Bloomfield Central School District</t>
  </si>
  <si>
    <t>Bolivar-Richburg Central School District</t>
  </si>
  <si>
    <t>Bolton Central School District</t>
  </si>
  <si>
    <t>Boquet Valley Central School District</t>
  </si>
  <si>
    <t>Bradford Central School District</t>
  </si>
  <si>
    <t>Brasher Falls Central School District</t>
  </si>
  <si>
    <t>Brentwood Union Free School District</t>
  </si>
  <si>
    <t>Brewster Central School District</t>
  </si>
  <si>
    <t>Briarcliff Manor Union Free School District</t>
  </si>
  <si>
    <t>Bridgehampton Union Free School District</t>
  </si>
  <si>
    <t>Brighton Central School District</t>
  </si>
  <si>
    <t>Broadalbin-Perth Central School District</t>
  </si>
  <si>
    <t>Brockport Central School District</t>
  </si>
  <si>
    <t>Brocton Central School District</t>
  </si>
  <si>
    <t>Bronxville Union Free School District</t>
  </si>
  <si>
    <t>Brookfield Central School District</t>
  </si>
  <si>
    <t>Brunswick Central School District</t>
  </si>
  <si>
    <t>Brushton-Moira Central School District</t>
  </si>
  <si>
    <t>Buffalo City School District</t>
  </si>
  <si>
    <t>Burnt Hills-Ballston Lake Central School District</t>
  </si>
  <si>
    <t>Byram Hills Central School District</t>
  </si>
  <si>
    <t>Byron-Bergen Central School District</t>
  </si>
  <si>
    <t>Cairo-Durham Central School District</t>
  </si>
  <si>
    <t>Caledonia-Mumford Central School District</t>
  </si>
  <si>
    <t>Cambridge Central School District</t>
  </si>
  <si>
    <t>Camden Central School District</t>
  </si>
  <si>
    <t>Campbell-Savona Central School District</t>
  </si>
  <si>
    <t>Canajoharie Central School District</t>
  </si>
  <si>
    <t>Canandaigua City School District</t>
  </si>
  <si>
    <t>Canaseraga Central School District</t>
  </si>
  <si>
    <t>Canastota Central School District</t>
  </si>
  <si>
    <t>Candor Central School District</t>
  </si>
  <si>
    <t>Canisteo-Greenwood Central School District</t>
  </si>
  <si>
    <t>Canton Central School District</t>
  </si>
  <si>
    <t>Carle Place Union Free School District</t>
  </si>
  <si>
    <t>Carmel Central School District</t>
  </si>
  <si>
    <t>Carthage Central School District</t>
  </si>
  <si>
    <t>Cassadaga Valley Central School District</t>
  </si>
  <si>
    <t>Cato-Meridian Central School District</t>
  </si>
  <si>
    <t>Catskill Central School District</t>
  </si>
  <si>
    <t>Cattaraugus-Little Valley Central School District</t>
  </si>
  <si>
    <t>Cazenovia Central School District</t>
  </si>
  <si>
    <t>Center Moriches Union Free School District</t>
  </si>
  <si>
    <t>Central Islip Union Free School District</t>
  </si>
  <si>
    <t>Central Square Central School District</t>
  </si>
  <si>
    <t>Central Valley Central School District at Ilion-Mohawk</t>
  </si>
  <si>
    <t>Chappaqua Central School District</t>
  </si>
  <si>
    <t>Charlotte Valley Central School District</t>
  </si>
  <si>
    <t>Chateaugay Central School District</t>
  </si>
  <si>
    <t>Chatham Central School District</t>
  </si>
  <si>
    <t>Chautauqua Lake Central School District</t>
  </si>
  <si>
    <t>Chazy Union Free School District</t>
  </si>
  <si>
    <t>Cheektowaga Central School District</t>
  </si>
  <si>
    <t>Cheektowaga-Sloan Union Free School District</t>
  </si>
  <si>
    <t>Chenango Forks Central School District</t>
  </si>
  <si>
    <t>Chenango Valley Central School District</t>
  </si>
  <si>
    <t>Cherry Valley-Springfield Central School District</t>
  </si>
  <si>
    <t>Chester Union Free School District</t>
  </si>
  <si>
    <t>Chittenango Central School District</t>
  </si>
  <si>
    <t>Churchville-Chili Central School District</t>
  </si>
  <si>
    <t>Cincinnatus Central School District</t>
  </si>
  <si>
    <t>Clarence Central School District</t>
  </si>
  <si>
    <t>Clarkstown Central School District</t>
  </si>
  <si>
    <t>Cleveland Hill Union Free School District</t>
  </si>
  <si>
    <t>Clifton-Fine Central School District</t>
  </si>
  <si>
    <t>Clinton Central School District</t>
  </si>
  <si>
    <t>Clyde-Savannah Central School District</t>
  </si>
  <si>
    <t>Clymer Central School District</t>
  </si>
  <si>
    <t>Cobleskill-Richmondville Central School District</t>
  </si>
  <si>
    <t>Cohoes City School District</t>
  </si>
  <si>
    <t>Cold Spring Harbor Central School District</t>
  </si>
  <si>
    <t>Colton-Pierrepont Central School District</t>
  </si>
  <si>
    <t>Commack Union Free School District</t>
  </si>
  <si>
    <t>Comsewogue Union Free School District</t>
  </si>
  <si>
    <t>Connetquot Central School District</t>
  </si>
  <si>
    <t>Cooperstown Central School District</t>
  </si>
  <si>
    <t>Copenhagen Central School District</t>
  </si>
  <si>
    <t>Copiague Union Free School District</t>
  </si>
  <si>
    <t>Corinth Central School District</t>
  </si>
  <si>
    <t>Corning City School District</t>
  </si>
  <si>
    <t>Cornwall Central School District</t>
  </si>
  <si>
    <t>Cortland City School District</t>
  </si>
  <si>
    <t>Coxsackie-Athens Central School District</t>
  </si>
  <si>
    <t>Croton-Harmon Union Free School District</t>
  </si>
  <si>
    <t>Crown Point Central School District</t>
  </si>
  <si>
    <t>Cuba-Rushford Central School District</t>
  </si>
  <si>
    <t>Dansville Central School District</t>
  </si>
  <si>
    <t>Deer Park Union Free School District</t>
  </si>
  <si>
    <t>Delhi Central School District</t>
  </si>
  <si>
    <t>Depew Union Free School District</t>
  </si>
  <si>
    <t>Deposit Central School District</t>
  </si>
  <si>
    <t>DeRuyter Central School District</t>
  </si>
  <si>
    <t>Dobbs Ferry Union Free School District</t>
  </si>
  <si>
    <t>Dolgeville Central School District</t>
  </si>
  <si>
    <t>Dover Union Free School District</t>
  </si>
  <si>
    <t>Downsville Central School District</t>
  </si>
  <si>
    <t>Dryden Central School District</t>
  </si>
  <si>
    <t>Duanesburg Central School District</t>
  </si>
  <si>
    <t>Dundee Central School District</t>
  </si>
  <si>
    <t>Dunkirk City School District</t>
  </si>
  <si>
    <t>East Aurora Union Free School District</t>
  </si>
  <si>
    <t>East Greenbush Central School District</t>
  </si>
  <si>
    <t>East Hampton Union Free School District</t>
  </si>
  <si>
    <t>East Irondequoit Central School District</t>
  </si>
  <si>
    <t>East Islip Union Free School District</t>
  </si>
  <si>
    <t>East Meadow Union Free School District</t>
  </si>
  <si>
    <t>East Moriches Union Free School District</t>
  </si>
  <si>
    <t>East Quogue Union Free School District</t>
  </si>
  <si>
    <t>East Ramapo Central School District</t>
  </si>
  <si>
    <t>East Rochester Union Free School District</t>
  </si>
  <si>
    <t>East Rockaway Union Free School District</t>
  </si>
  <si>
    <t>East Syracuse-Minoa Central School District</t>
  </si>
  <si>
    <t>East Williston Union Free School District</t>
  </si>
  <si>
    <t>Eastchester Union Free School District</t>
  </si>
  <si>
    <t>Eastport-South Manor Central School District</t>
  </si>
  <si>
    <t>Eden Central School District</t>
  </si>
  <si>
    <t>Edgemont Union Free School District</t>
  </si>
  <si>
    <t>Edinburg Common School District</t>
  </si>
  <si>
    <t>Edmeston Central School District</t>
  </si>
  <si>
    <t>Edwards-Knox Central School District</t>
  </si>
  <si>
    <t>Elba Central School District</t>
  </si>
  <si>
    <t>Eldred Central School District</t>
  </si>
  <si>
    <t>Ellenville Central School District</t>
  </si>
  <si>
    <t>Ellicottville Central School District</t>
  </si>
  <si>
    <t>Elmira City School District</t>
  </si>
  <si>
    <t>Elmira Heights Central School District</t>
  </si>
  <si>
    <t>Elmont Union Free School District</t>
  </si>
  <si>
    <t>Elmsford Union Free School District</t>
  </si>
  <si>
    <t>Elwood Union Free School District</t>
  </si>
  <si>
    <t>Fabius-Pompey Central School District</t>
  </si>
  <si>
    <t>Fairport Central School District</t>
  </si>
  <si>
    <t>Falconer Central School District</t>
  </si>
  <si>
    <t>Fallsburg Central School District</t>
  </si>
  <si>
    <t>Farmingdale Union Free School District</t>
  </si>
  <si>
    <t>Fayetteville-Manlius Central School District</t>
  </si>
  <si>
    <t>Fillmore Central School District</t>
  </si>
  <si>
    <t>Fire Island Union Free School District</t>
  </si>
  <si>
    <t>Fishers Island Union Free School District</t>
  </si>
  <si>
    <t>Floral Park-Bellerose Union Free School District</t>
  </si>
  <si>
    <t>Florida Union Free School District</t>
  </si>
  <si>
    <t>Fonda-Fultonville Central School District</t>
  </si>
  <si>
    <t>Forestville Central School District</t>
  </si>
  <si>
    <t>Fort Ann Central School District</t>
  </si>
  <si>
    <t>Fort Edward Union Free School District</t>
  </si>
  <si>
    <t>Fort Plain Central School District</t>
  </si>
  <si>
    <t>Frankfort-Schuyler Central School District</t>
  </si>
  <si>
    <t>Franklin Central School District</t>
  </si>
  <si>
    <t>Franklin Square Union Free School District</t>
  </si>
  <si>
    <t>Franklinville Central School District</t>
  </si>
  <si>
    <t>Fredonia Central School District</t>
  </si>
  <si>
    <t>Freeport Union Free School District</t>
  </si>
  <si>
    <t>Frewsburg Central School District</t>
  </si>
  <si>
    <t>Friendship Central School District</t>
  </si>
  <si>
    <t>Frontier Central School District</t>
  </si>
  <si>
    <t>Fulton City School District</t>
  </si>
  <si>
    <t>Galway Central School District</t>
  </si>
  <si>
    <t>Gananda Central School District</t>
  </si>
  <si>
    <t>Garden City Union Free School District</t>
  </si>
  <si>
    <t>Garrison Union Free School District</t>
  </si>
  <si>
    <t>Gates-Chili Central School District</t>
  </si>
  <si>
    <t>General Brown Central School District</t>
  </si>
  <si>
    <t>Genesee Valley Central School District</t>
  </si>
  <si>
    <t>Geneseo Central School District</t>
  </si>
  <si>
    <t>Geneva City School District</t>
  </si>
  <si>
    <t>Germantown Central School District</t>
  </si>
  <si>
    <t>Gilbertsville-Mount Upton Central School District</t>
  </si>
  <si>
    <t>Gilboa-Conesville Central School District</t>
  </si>
  <si>
    <t>Glen Cove City School District</t>
  </si>
  <si>
    <t>Glens Falls City School District</t>
  </si>
  <si>
    <t>Gloversville Enlarged City School District</t>
  </si>
  <si>
    <t>Goshen Central School District</t>
  </si>
  <si>
    <t>Gouverneur Central School District</t>
  </si>
  <si>
    <t>Gowanda Central School District</t>
  </si>
  <si>
    <t>Grand Island Central School District</t>
  </si>
  <si>
    <t>Granville Central School District</t>
  </si>
  <si>
    <t>Great Neck Union Free School District</t>
  </si>
  <si>
    <t>Greece Central School District</t>
  </si>
  <si>
    <t>Green Island Union Free School District</t>
  </si>
  <si>
    <t>Greenburgh Central 7 School District</t>
  </si>
  <si>
    <t>Greene Central School District</t>
  </si>
  <si>
    <t>Greenport Union Free School District</t>
  </si>
  <si>
    <t>Greenville Central School District</t>
  </si>
  <si>
    <t>Greenwich Central School District</t>
  </si>
  <si>
    <t>Greenwood Lake Union Free School District</t>
  </si>
  <si>
    <t>Groton Central School District</t>
  </si>
  <si>
    <t>Guilderland Central School District</t>
  </si>
  <si>
    <t>Hadley-Luzerne Central School District</t>
  </si>
  <si>
    <t>Haldane Central School District</t>
  </si>
  <si>
    <t>Half Hollow Hills Central School District</t>
  </si>
  <si>
    <t>Hamburg Central School District</t>
  </si>
  <si>
    <t>Hamilton Central School District</t>
  </si>
  <si>
    <t>Hammond Central School District</t>
  </si>
  <si>
    <t>Hammondsport Central School District</t>
  </si>
  <si>
    <t>Hampton Bays Union Free School District</t>
  </si>
  <si>
    <t>Hancock Central School District</t>
  </si>
  <si>
    <t>Hannibal Central School District</t>
  </si>
  <si>
    <t>Harborfields Central School District</t>
  </si>
  <si>
    <t>Harpursville Central School District</t>
  </si>
  <si>
    <t>Harrison Central School District</t>
  </si>
  <si>
    <t>Harrisville Central School District</t>
  </si>
  <si>
    <t>Hartford Central School District</t>
  </si>
  <si>
    <t>Hastings-On-Hudson Union Free School District</t>
  </si>
  <si>
    <t>Hauppauge Union Free School District</t>
  </si>
  <si>
    <t>Hempstead Union Free School District</t>
  </si>
  <si>
    <t>Hendrick Hudson Central School District</t>
  </si>
  <si>
    <t>Herkimer Central School District</t>
  </si>
  <si>
    <t>Hermon Dekalb Central School District</t>
  </si>
  <si>
    <t>Herricks Union Free School District</t>
  </si>
  <si>
    <t>Heuvelton Central School District</t>
  </si>
  <si>
    <t>Hewlett-Woodmere Union Free School District</t>
  </si>
  <si>
    <t>Hicksville Union Free School District</t>
  </si>
  <si>
    <t>Highland Central School District</t>
  </si>
  <si>
    <t>Highland Falls-Fort Montgomery Central School District</t>
  </si>
  <si>
    <t>Hilton Central School District</t>
  </si>
  <si>
    <t>Hinsdale Central School District</t>
  </si>
  <si>
    <t>Holland Central School District</t>
  </si>
  <si>
    <t>Holland Patent Central School District</t>
  </si>
  <si>
    <t>Holley Central School District</t>
  </si>
  <si>
    <t>Homer Central School District</t>
  </si>
  <si>
    <t>Honeoye Central School District</t>
  </si>
  <si>
    <t>Honeoye Falls-Lima Central School District</t>
  </si>
  <si>
    <t>Hoosic Valley Central School District</t>
  </si>
  <si>
    <t>Hoosick Falls Central School District</t>
  </si>
  <si>
    <t>Hornell City School District</t>
  </si>
  <si>
    <t>Horseheads Central School District</t>
  </si>
  <si>
    <t>Hudson City School District</t>
  </si>
  <si>
    <t>Hudson Falls Central School District</t>
  </si>
  <si>
    <t>Hunter-Tannersville Central School District</t>
  </si>
  <si>
    <t>Huntington Union Free School District</t>
  </si>
  <si>
    <t>Hyde Park Central School District</t>
  </si>
  <si>
    <t>Ichabod Crane Central School District</t>
  </si>
  <si>
    <t>Indian Lake Central School District</t>
  </si>
  <si>
    <t>Indian River Central School District</t>
  </si>
  <si>
    <t>Inlet Common School District</t>
  </si>
  <si>
    <t>Iroquois Central School District</t>
  </si>
  <si>
    <t>Irvington Union Free School District</t>
  </si>
  <si>
    <t>Island Park Union Free School District</t>
  </si>
  <si>
    <t>Island Trees Union Free School District</t>
  </si>
  <si>
    <t>Islip Union Free School District</t>
  </si>
  <si>
    <t>Ithaca City School District</t>
  </si>
  <si>
    <t>Jamestown City School District</t>
  </si>
  <si>
    <t>Jamesville-Dewitt Central School District</t>
  </si>
  <si>
    <t>Jasper-Troupsburg Central School District</t>
  </si>
  <si>
    <t>Jefferson Central School District</t>
  </si>
  <si>
    <t>Jericho Union Free School District</t>
  </si>
  <si>
    <t>Johnsburg Central School District</t>
  </si>
  <si>
    <t>Johnson City Central School District</t>
  </si>
  <si>
    <t>Johnstown City School District</t>
  </si>
  <si>
    <t>Jordan-Elbridge Central School District</t>
  </si>
  <si>
    <t>Katonah-Lewisboro Union Free School District</t>
  </si>
  <si>
    <t>Keene Central School District</t>
  </si>
  <si>
    <t>Kendall Central School District</t>
  </si>
  <si>
    <t>Kenmore-Town of Tonawanda Union Free School District</t>
  </si>
  <si>
    <t>Keshequa Central School District</t>
  </si>
  <si>
    <t>Kings Park Central School District</t>
  </si>
  <si>
    <t>Kingston City School District</t>
  </si>
  <si>
    <t>Kiryas Joel Village Union Free School District</t>
  </si>
  <si>
    <t>Lackawanna City School District</t>
  </si>
  <si>
    <t>Lafargeville Central School District</t>
  </si>
  <si>
    <t>Lafayette Central School District</t>
  </si>
  <si>
    <t>Lake George Central School District</t>
  </si>
  <si>
    <t>Lake Placid Central School District</t>
  </si>
  <si>
    <t>Lake Pleasant Central School District</t>
  </si>
  <si>
    <t>Lake Shore Central School District</t>
  </si>
  <si>
    <t>Lakeland Central School District</t>
  </si>
  <si>
    <t>Lancaster Central School District</t>
  </si>
  <si>
    <t>Lansing Central School District</t>
  </si>
  <si>
    <t>Lansingburgh Central School District</t>
  </si>
  <si>
    <t>Laurens Central School District</t>
  </si>
  <si>
    <t>Lawrence Union Free School District</t>
  </si>
  <si>
    <t>Le Roy Central School District</t>
  </si>
  <si>
    <t>Letchworth Central School District</t>
  </si>
  <si>
    <t>Levittown Union Free School District</t>
  </si>
  <si>
    <t>Lewiston-Porter Central School District</t>
  </si>
  <si>
    <t>Liberty Central School District</t>
  </si>
  <si>
    <t>Lindenhurst Union Free School District</t>
  </si>
  <si>
    <t>Lisbon Central School District</t>
  </si>
  <si>
    <t>Little Falls City School District</t>
  </si>
  <si>
    <t>Liverpool Central School District</t>
  </si>
  <si>
    <t>Livingston Manor Central School District</t>
  </si>
  <si>
    <t>Livonia Central School District</t>
  </si>
  <si>
    <t>Lockport City School District</t>
  </si>
  <si>
    <t>Locust Valley Central School District</t>
  </si>
  <si>
    <t>Long Beach City School District</t>
  </si>
  <si>
    <t>Long Lake Central School District</t>
  </si>
  <si>
    <t>Longwood Central School District</t>
  </si>
  <si>
    <t>Lowville Academy and Central School District</t>
  </si>
  <si>
    <t>Lyme Central School District</t>
  </si>
  <si>
    <t>Lynbrook Union Free School District</t>
  </si>
  <si>
    <t>Lyncourt Union Free School District</t>
  </si>
  <si>
    <t>Lyndonville Central School District</t>
  </si>
  <si>
    <t>Lyons Central School District</t>
  </si>
  <si>
    <t>Madison Central School District</t>
  </si>
  <si>
    <t>Madrid-Waddington Central School District</t>
  </si>
  <si>
    <t>Mahopac Central School District</t>
  </si>
  <si>
    <t>Maine-Endwell Central School District</t>
  </si>
  <si>
    <t>Malone Central School District</t>
  </si>
  <si>
    <t>Malverne Union Free School District</t>
  </si>
  <si>
    <t>Mamaroneck Union Free School District</t>
  </si>
  <si>
    <t>Manchester-Shortsville Central School District</t>
  </si>
  <si>
    <t>Manhasset Union Free School District</t>
  </si>
  <si>
    <t>Marathon Central School District</t>
  </si>
  <si>
    <t>Marcellus Central School District</t>
  </si>
  <si>
    <t>Marcus Whitman Central School District</t>
  </si>
  <si>
    <t>Margaretville Central School District</t>
  </si>
  <si>
    <t>Marion Central School District</t>
  </si>
  <si>
    <t>Marlboro Central School District</t>
  </si>
  <si>
    <t>Maryvale Union Free School District</t>
  </si>
  <si>
    <t>Massapequa Union Free School District</t>
  </si>
  <si>
    <t>Massena Central School District</t>
  </si>
  <si>
    <t>Mattituck-Cutchogue Union Free School District</t>
  </si>
  <si>
    <t>Mayfield Central School District</t>
  </si>
  <si>
    <t>McGraw Central School District</t>
  </si>
  <si>
    <t>Mechanicville City School District</t>
  </si>
  <si>
    <t>Medina Central School District</t>
  </si>
  <si>
    <t>Menands Union Free School District</t>
  </si>
  <si>
    <t>Merrick Union Free School District</t>
  </si>
  <si>
    <t>Mexico Academy and Central School District</t>
  </si>
  <si>
    <t>Middle Country Central School District</t>
  </si>
  <si>
    <t>Middleburgh Central School District</t>
  </si>
  <si>
    <t>Middletown Enlarged City School District</t>
  </si>
  <si>
    <t>Milford Central School District</t>
  </si>
  <si>
    <t>Millbrook Central School District</t>
  </si>
  <si>
    <t>Miller Place Union Free School District</t>
  </si>
  <si>
    <t>Mineola Union Free School District</t>
  </si>
  <si>
    <t>Minerva Central School District</t>
  </si>
  <si>
    <t>Minisink Valley Central School District</t>
  </si>
  <si>
    <t>Mohonasen Central School District</t>
  </si>
  <si>
    <t>Monroe-Woodbury Central School District</t>
  </si>
  <si>
    <t>Montauk Union Free School District</t>
  </si>
  <si>
    <t>Monticello Central School District</t>
  </si>
  <si>
    <t>Moravia Central School District</t>
  </si>
  <si>
    <t>Moriah Central School District</t>
  </si>
  <si>
    <t>Morris Central School District</t>
  </si>
  <si>
    <t>Morristown Central School District</t>
  </si>
  <si>
    <t>Morrisville-Eaton Central School District</t>
  </si>
  <si>
    <t>Mount Markham Central School District</t>
  </si>
  <si>
    <t>Mount Morris Central School District</t>
  </si>
  <si>
    <t>Mount Pleasant Central School District</t>
  </si>
  <si>
    <t>Mount Sinai Union Free School District</t>
  </si>
  <si>
    <t>Mount Vernon City School District</t>
  </si>
  <si>
    <t>Nanuet Union Free School District</t>
  </si>
  <si>
    <t>Naples Central School District</t>
  </si>
  <si>
    <t>New Hartford Central School District</t>
  </si>
  <si>
    <t>New Hyde Park-Garden City Park Union Free School District</t>
  </si>
  <si>
    <t>New Lebanon Central School District</t>
  </si>
  <si>
    <t>New Paltz Central School District</t>
  </si>
  <si>
    <t>New Rochelle City School District</t>
  </si>
  <si>
    <t>New Suffolk Common School District</t>
  </si>
  <si>
    <t>New York City Department of Education</t>
  </si>
  <si>
    <t>New York Mills Union Free School District</t>
  </si>
  <si>
    <t>Newark Central School District</t>
  </si>
  <si>
    <t>Newark Valley Central School District</t>
  </si>
  <si>
    <t>Newburgh Enlarged City School District</t>
  </si>
  <si>
    <t>Newcomb Central School District</t>
  </si>
  <si>
    <t>Newfane Central School District</t>
  </si>
  <si>
    <t>Newfield Central School District</t>
  </si>
  <si>
    <t>Niagara Falls City School District</t>
  </si>
  <si>
    <t>Niagara-Wheatfield Central School District</t>
  </si>
  <si>
    <t>Niskayuna Central School District</t>
  </si>
  <si>
    <t>North Babylon Union Free School District</t>
  </si>
  <si>
    <t>North Bellmore Union Free School District</t>
  </si>
  <si>
    <t>North Collins Central School District</t>
  </si>
  <si>
    <t>North Colonie Central School District</t>
  </si>
  <si>
    <t>North Greenbush Common School District</t>
  </si>
  <si>
    <t>North Merrick Union Free School District</t>
  </si>
  <si>
    <t>North Rockland Central School District</t>
  </si>
  <si>
    <t>North Rose-Wolcott Central School District</t>
  </si>
  <si>
    <t>North Salem Central School District</t>
  </si>
  <si>
    <t>North Shore Central School District</t>
  </si>
  <si>
    <t>North Syracuse Central School District</t>
  </si>
  <si>
    <t>North Tonawanda City School District</t>
  </si>
  <si>
    <t>North Warren Central School District</t>
  </si>
  <si>
    <t>Northeastern Clinton Central School District</t>
  </si>
  <si>
    <t>Northern Adirondack Central School District</t>
  </si>
  <si>
    <t>Northport-East Northport Union Free School District</t>
  </si>
  <si>
    <t>Northville Central School District</t>
  </si>
  <si>
    <t>Norwich City School District</t>
  </si>
  <si>
    <t>Norwood-Norfolk Central School District</t>
  </si>
  <si>
    <t>Nyack Union Free School District</t>
  </si>
  <si>
    <t>Oakfield-Alabama Central School District</t>
  </si>
  <si>
    <t>Oceanside Union Free School District</t>
  </si>
  <si>
    <t>Odessa-Montour Central School District</t>
  </si>
  <si>
    <t>Ogdensburg City School District</t>
  </si>
  <si>
    <t>Olean City School District</t>
  </si>
  <si>
    <t>Oneida City School District</t>
  </si>
  <si>
    <t>Oneonta City School District</t>
  </si>
  <si>
    <t>Onondaga Central School District</t>
  </si>
  <si>
    <t>Onteora Central School District</t>
  </si>
  <si>
    <t>Oppenheim-Ephratah-St. Johnsville Central School District</t>
  </si>
  <si>
    <t>Orchard Park Central School District</t>
  </si>
  <si>
    <t>Oriskany Central School District</t>
  </si>
  <si>
    <t>Ossining Union Free School District</t>
  </si>
  <si>
    <t>Oswego City School District</t>
  </si>
  <si>
    <t>Otselic Valley Central School District at Georgetown-South Otselic</t>
  </si>
  <si>
    <t>Owego-Apalachin Central School District</t>
  </si>
  <si>
    <t>Owen D. Young Central School District</t>
  </si>
  <si>
    <t>Oxford Academy and Central School District</t>
  </si>
  <si>
    <t>Oyster Bay-East Norwich Central School District</t>
  </si>
  <si>
    <t>Oysterponds Union Free School District</t>
  </si>
  <si>
    <t>Palmyra-Macedon Central School District</t>
  </si>
  <si>
    <t>Panama Central School District</t>
  </si>
  <si>
    <t>Parishville-Hopkinton Central School District</t>
  </si>
  <si>
    <t>Patchogue-Medford Union Free School District</t>
  </si>
  <si>
    <t>Pavilion Central School District</t>
  </si>
  <si>
    <t>Pawling Central School District</t>
  </si>
  <si>
    <t>Pearl River Union Free School District</t>
  </si>
  <si>
    <t>Peekskill City School District</t>
  </si>
  <si>
    <t>Pelham Union Free School District</t>
  </si>
  <si>
    <t>Pembroke Central School District</t>
  </si>
  <si>
    <t>Penfield Central School District</t>
  </si>
  <si>
    <t>Penn Yan Central School District</t>
  </si>
  <si>
    <t>Perry Central School District</t>
  </si>
  <si>
    <t>Peru Central School District</t>
  </si>
  <si>
    <t>Phelps-Clifton Springs Central School District</t>
  </si>
  <si>
    <t>Phoenix Central School District</t>
  </si>
  <si>
    <t>Pine Bush Central School District</t>
  </si>
  <si>
    <t>Pine Plains Central School District</t>
  </si>
  <si>
    <t>Pine Valley Central School District</t>
  </si>
  <si>
    <t>Pioneer Central School District</t>
  </si>
  <si>
    <t>Pittsford Central School District</t>
  </si>
  <si>
    <t>Plainedge Union Free School District</t>
  </si>
  <si>
    <t>Plainview-Old Bethpage Central School District</t>
  </si>
  <si>
    <t>Plattsburgh City School District</t>
  </si>
  <si>
    <t>Pleasantville Union Free School District</t>
  </si>
  <si>
    <t>Pocantico Hills Central School District</t>
  </si>
  <si>
    <t>Poland Central School District</t>
  </si>
  <si>
    <t>Port Byron Central School District</t>
  </si>
  <si>
    <t>Port Chester-Rye Union Free School District</t>
  </si>
  <si>
    <t>Port Jefferson Union Free School District</t>
  </si>
  <si>
    <t>Port Jervis City School District</t>
  </si>
  <si>
    <t>Port Washington Union Free School District</t>
  </si>
  <si>
    <t>Portville Central School District</t>
  </si>
  <si>
    <t>Potsdam Central School District</t>
  </si>
  <si>
    <t>Poughkeepsie City School District</t>
  </si>
  <si>
    <t>Prattsburgh Central School District</t>
  </si>
  <si>
    <t>Pulaski (Academy) Central School District</t>
  </si>
  <si>
    <t>Putnam Central School District</t>
  </si>
  <si>
    <t>Putnam Valley Central School District</t>
  </si>
  <si>
    <t>Queensbury Union Free School District</t>
  </si>
  <si>
    <t>Quogue Union Free School District</t>
  </si>
  <si>
    <t>Randolph Central School District</t>
  </si>
  <si>
    <t>Ravena-Coeymans-Selkirk Central School District</t>
  </si>
  <si>
    <t>Red Creek Central School District</t>
  </si>
  <si>
    <t>Red Hook Central School District</t>
  </si>
  <si>
    <t>Remsen Central School District</t>
  </si>
  <si>
    <t>Remsenburg-Speonk Union Free School District</t>
  </si>
  <si>
    <t>Rensselaer City School District</t>
  </si>
  <si>
    <t>Rhinebeck Central School District</t>
  </si>
  <si>
    <t>Richfield Springs Central School District</t>
  </si>
  <si>
    <t>Ripley Central School District</t>
  </si>
  <si>
    <t>Riverhead Central School District</t>
  </si>
  <si>
    <t>Rochester City School District</t>
  </si>
  <si>
    <t>Rockville Centre Union Free School District</t>
  </si>
  <si>
    <t>Rocky Point Union Free School District</t>
  </si>
  <si>
    <t>Rome City School District</t>
  </si>
  <si>
    <t>Romulus Central School District</t>
  </si>
  <si>
    <t>Rondout Valley Central School District</t>
  </si>
  <si>
    <t>Roosevelt Union Free School District</t>
  </si>
  <si>
    <t>Roscoe Central School District</t>
  </si>
  <si>
    <t>Roslyn Union Free School District</t>
  </si>
  <si>
    <t>Roxbury Central School District</t>
  </si>
  <si>
    <t>Royalton-Hartland Central School District</t>
  </si>
  <si>
    <t>Rush-Henrietta Central School District</t>
  </si>
  <si>
    <t>Rye City School District</t>
  </si>
  <si>
    <t>Rye Neck Union Free School District</t>
  </si>
  <si>
    <t>Sachem Central School District</t>
  </si>
  <si>
    <t>Sackets Harbor Central School District</t>
  </si>
  <si>
    <t>Sag Harbor Union Free School District</t>
  </si>
  <si>
    <t>Sagaponack Common School District</t>
  </si>
  <si>
    <t>Saint Regis Falls Central School District</t>
  </si>
  <si>
    <t>Salamanca City School District</t>
  </si>
  <si>
    <t>Salem Central School District</t>
  </si>
  <si>
    <t>Salmon River Central School District</t>
  </si>
  <si>
    <t>Sandy Creek Central School District</t>
  </si>
  <si>
    <t>Saranac Central School District</t>
  </si>
  <si>
    <t>Saranac Lake Central School District</t>
  </si>
  <si>
    <t>Saratoga Springs City School District</t>
  </si>
  <si>
    <t>Saugerties Central School District</t>
  </si>
  <si>
    <t>Sauquoit Valley Central School District</t>
  </si>
  <si>
    <t>Sayville Union Free School District</t>
  </si>
  <si>
    <t>Scarsdale Union Free School District</t>
  </si>
  <si>
    <t>Schalmont Central School District</t>
  </si>
  <si>
    <t>Schenectady City School District</t>
  </si>
  <si>
    <t>Schenevus Central School District</t>
  </si>
  <si>
    <t>Schodack Central School District</t>
  </si>
  <si>
    <t>Schoharie Central School District</t>
  </si>
  <si>
    <t>Schroon Lake Central School District</t>
  </si>
  <si>
    <t>Schuylerville Central School District</t>
  </si>
  <si>
    <t>Scio Central School District</t>
  </si>
  <si>
    <t>Scotia-Glenville Central School District</t>
  </si>
  <si>
    <t>Seaford Union Free School District</t>
  </si>
  <si>
    <t>Seneca Falls Central School District</t>
  </si>
  <si>
    <t>Sewanhaka Central High School District</t>
  </si>
  <si>
    <t>Sharon Springs Central School District</t>
  </si>
  <si>
    <t>Shelter Island Union Free School District</t>
  </si>
  <si>
    <t>Shenendehowa Central School District</t>
  </si>
  <si>
    <t>Sherburne-Earlville Central School District</t>
  </si>
  <si>
    <t>Sherman Central School District</t>
  </si>
  <si>
    <t>Shoreham-Wading River Central School District</t>
  </si>
  <si>
    <t>Sidney Central School District</t>
  </si>
  <si>
    <t>Silver Creek Central School District</t>
  </si>
  <si>
    <t>Skaneateles Central School District</t>
  </si>
  <si>
    <t>Smithtown Central School District</t>
  </si>
  <si>
    <t>Sodus Central School District</t>
  </si>
  <si>
    <t>Solvay Union Free School District</t>
  </si>
  <si>
    <t>Somers Central School District</t>
  </si>
  <si>
    <t>South Colonie Central School District</t>
  </si>
  <si>
    <t>South Country Central School District</t>
  </si>
  <si>
    <t>South Glens Falls Central School District</t>
  </si>
  <si>
    <t>South Huntington Union Free School District</t>
  </si>
  <si>
    <t>South Jefferson Central School District</t>
  </si>
  <si>
    <t>South Kortright Central School District</t>
  </si>
  <si>
    <t>South Lewis Central School District</t>
  </si>
  <si>
    <t>South Orangetown Central School District</t>
  </si>
  <si>
    <t>South Seneca Central School District</t>
  </si>
  <si>
    <t>Southampton Union Free School District</t>
  </si>
  <si>
    <t>Southern Cayuga Central School District</t>
  </si>
  <si>
    <t>Southold Union Free School District</t>
  </si>
  <si>
    <t>Southwestern Central School District</t>
  </si>
  <si>
    <t>Spackenkill Union Free School District</t>
  </si>
  <si>
    <t>Spencerport Central School District</t>
  </si>
  <si>
    <t>Spencer-Van Etten Central School District</t>
  </si>
  <si>
    <t>Springs Union Free School District</t>
  </si>
  <si>
    <t>Springville-Griffith Institute Central School District</t>
  </si>
  <si>
    <t>Stamford Central School District</t>
  </si>
  <si>
    <t>Starpoint Central School District</t>
  </si>
  <si>
    <t>Stillwater Central School District</t>
  </si>
  <si>
    <t>Stockbridge Valley Central School District</t>
  </si>
  <si>
    <t>Suffern Central School District</t>
  </si>
  <si>
    <t>Sullivan West Central School District</t>
  </si>
  <si>
    <t>Susquehanna Valley Central School District</t>
  </si>
  <si>
    <t>Sweet Home Central School District</t>
  </si>
  <si>
    <t>Syosset Central School District</t>
  </si>
  <si>
    <t>Syracuse City School District</t>
  </si>
  <si>
    <t>Taconic Hills Central School District</t>
  </si>
  <si>
    <t>Tarrytown Union Free School District</t>
  </si>
  <si>
    <t>Thousand Islands Central School District</t>
  </si>
  <si>
    <t>Three Village Central School District</t>
  </si>
  <si>
    <t>Ticonderoga Central School District</t>
  </si>
  <si>
    <t>Tioga Central School District</t>
  </si>
  <si>
    <t>Tonawanda City School District</t>
  </si>
  <si>
    <t>Town of Webb Union Free School District</t>
  </si>
  <si>
    <t>Tri-Valley Central School District</t>
  </si>
  <si>
    <t>Troy City School District</t>
  </si>
  <si>
    <t>Trumansburg Central School District</t>
  </si>
  <si>
    <t>Tuckahoe Common School District</t>
  </si>
  <si>
    <t>Tuckahoe Union Free School District</t>
  </si>
  <si>
    <t>Tully Central School District</t>
  </si>
  <si>
    <t>Tupper Lake Central School District</t>
  </si>
  <si>
    <t>Tuxedo Union Free School District</t>
  </si>
  <si>
    <t>Unadilla Valley Central School District</t>
  </si>
  <si>
    <t>Unatego Central School District</t>
  </si>
  <si>
    <t>Union Springs Central School District</t>
  </si>
  <si>
    <t>Uniondale Union Free School District</t>
  </si>
  <si>
    <t>Union-Endicott Central School District</t>
  </si>
  <si>
    <t>Utica City School District</t>
  </si>
  <si>
    <t>Valhalla Union Free School District</t>
  </si>
  <si>
    <t>Valley Central School District</t>
  </si>
  <si>
    <t>Valley Stream 13 Union Free School District</t>
  </si>
  <si>
    <t>Valley Stream 24 Union Free School District</t>
  </si>
  <si>
    <t>Valley Stream 30 Union Free School District</t>
  </si>
  <si>
    <t>Valley Stream Central High School District</t>
  </si>
  <si>
    <t>Vernon-Verona-Sherrill Central School District</t>
  </si>
  <si>
    <t>Vestal Central School District</t>
  </si>
  <si>
    <t>Victor Central School District</t>
  </si>
  <si>
    <t>Voorheesville Central School District</t>
  </si>
  <si>
    <t>Wainscott Common School District</t>
  </si>
  <si>
    <t>Wallkill Central School District</t>
  </si>
  <si>
    <t>Walton Central School District</t>
  </si>
  <si>
    <t>Wantagh Union Free School District</t>
  </si>
  <si>
    <t>Wappingers Central School District</t>
  </si>
  <si>
    <t>Warrensburg Central School District</t>
  </si>
  <si>
    <t>Warsaw Central School District</t>
  </si>
  <si>
    <t>Warwick Valley Central School District</t>
  </si>
  <si>
    <t>Washingtonville Central School District</t>
  </si>
  <si>
    <t>Waterford-Halfmoon Union Free School District</t>
  </si>
  <si>
    <t>Waterloo Central School District</t>
  </si>
  <si>
    <t>Watertown City School District</t>
  </si>
  <si>
    <t>Waterville Central School District</t>
  </si>
  <si>
    <t>Watervliet City School District</t>
  </si>
  <si>
    <t>Watkins Glen Central School District</t>
  </si>
  <si>
    <t>Waverly Central School District</t>
  </si>
  <si>
    <t>Wayland-Cohocton Central School District</t>
  </si>
  <si>
    <t>Wayne Central School District</t>
  </si>
  <si>
    <t>Webster Central School District</t>
  </si>
  <si>
    <t>Webutuck Central School District</t>
  </si>
  <si>
    <t>Weedsport Central School District</t>
  </si>
  <si>
    <t>Wells Central School District</t>
  </si>
  <si>
    <t>Wellsville Central School District</t>
  </si>
  <si>
    <t>West Babylon Union Free School District</t>
  </si>
  <si>
    <t>West Canada Valley Central School District</t>
  </si>
  <si>
    <t>West Genesee Central School District</t>
  </si>
  <si>
    <t>West Hempstead Union Free School District</t>
  </si>
  <si>
    <t>West Irondequoit Central School District</t>
  </si>
  <si>
    <t>West Islip Union Free School District</t>
  </si>
  <si>
    <t>West Seneca Central School District</t>
  </si>
  <si>
    <t>West Valley Central School District</t>
  </si>
  <si>
    <t>Westbury Union Free School District</t>
  </si>
  <si>
    <t>Westfield Academy and Central School District</t>
  </si>
  <si>
    <t>Westhampton Beach Union Free School District</t>
  </si>
  <si>
    <t>Westhill Central School District</t>
  </si>
  <si>
    <t>Westmoreland Central School District</t>
  </si>
  <si>
    <t>Wheatland-Chili Central School District</t>
  </si>
  <si>
    <t>Wheelerville Union Free School District</t>
  </si>
  <si>
    <t>White Plains City School District</t>
  </si>
  <si>
    <t>Whitehall Central School District</t>
  </si>
  <si>
    <t>Whitesboro Central School District</t>
  </si>
  <si>
    <t>Whitesville Central School District</t>
  </si>
  <si>
    <t>Whitney Point Central School District</t>
  </si>
  <si>
    <t>William Floyd Union Free School District</t>
  </si>
  <si>
    <t>Williamson Central School District</t>
  </si>
  <si>
    <t>Williamsville Central School District</t>
  </si>
  <si>
    <t>Willsboro Central School District</t>
  </si>
  <si>
    <t>Wilson Central School District</t>
  </si>
  <si>
    <t>Windham-Ashland-Jewett Central School District</t>
  </si>
  <si>
    <t>Windsor Central School District</t>
  </si>
  <si>
    <t>Worcester Central School District</t>
  </si>
  <si>
    <t>Wyandanch Union Free School District</t>
  </si>
  <si>
    <t>Wynantskill Union Free School District</t>
  </si>
  <si>
    <t>Wyoming Central School District</t>
  </si>
  <si>
    <t>Yonkers City School District</t>
  </si>
  <si>
    <t>York Central School District</t>
  </si>
  <si>
    <t>Yorktown Central School District</t>
  </si>
  <si>
    <t>Final 2023-24 Basic Tuition*</t>
  </si>
  <si>
    <t>Nurses Middle College Charter School</t>
  </si>
  <si>
    <t>BRICK Buffalo Academy Charter School</t>
  </si>
  <si>
    <t>Ver. 20230530</t>
  </si>
  <si>
    <t>Final 2024-25 Basic Tuition*</t>
  </si>
  <si>
    <t>Bedford Stuyvesant New Beginnings Charter School 2</t>
  </si>
  <si>
    <t>Central Queens Academy Charter Schools (Combined)</t>
  </si>
  <si>
    <t>Central Queens Academy Charter School II</t>
  </si>
  <si>
    <t>Uncommon New York City Charter School #1</t>
  </si>
  <si>
    <t>Rochester Prep Charter Schools (Combined)</t>
  </si>
  <si>
    <t>DREAM Charter School East Harlem</t>
  </si>
  <si>
    <t>Bedford Stuyvesant New Beginnings Charter School</t>
  </si>
  <si>
    <t>Bedford Stuyvesant New Beginnings Charter Schools (Combined)</t>
  </si>
  <si>
    <t>Rochester Prep Charter School 1</t>
  </si>
  <si>
    <t>Rochester Prep Charter School 2</t>
  </si>
  <si>
    <t>Rochester Prep Charter School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</si>
</sst>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Red]\(#,##0.00\)"/>
    <numFmt numFmtId="165" formatCode="_(* #,##0.00_);_(* \(#,##0.00\);_(* &quot;-&quot;_);_(@_)"/>
    <numFmt numFmtId="166" formatCode="##,###"/>
    <numFmt numFmtId="167" formatCode="0.0"/>
    <numFmt numFmtId="168" formatCode="mm/dd/yy"/>
    <numFmt numFmtId="169" formatCode="0_);[Red]\(0\)"/>
    <numFmt numFmtId="170" formatCode="_(* #,##0.00_);_(* \(#,##0.00\);_(* \-??_);_(@_)"/>
    <numFmt numFmtId="171" formatCode="[&lt;=9999999]###\-####;\(###\)\ ###\-####"/>
    <numFmt numFmtId="172" formatCode="_(* #,##0_);_(* \(#,##0\);_(* &quot;-&quot;??_);_(@_)"/>
    <numFmt numFmtId="173" formatCode="_(* #,##0.0_);_(* \(#,##0.0\);_(* &quot;-&quot;_);_(@_)"/>
    <numFmt numFmtId="174" formatCode="0.0%"/>
    <numFmt numFmtId="175" formatCode="00"/>
  </numFmts>
  <fonts count="139">
    <font>
      <sz val="10"/>
      <name val="Arial"/>
    </font>
    <font>
      <sz val="11"/>
      <color theme="1"/>
      <name val="Calibri"/>
      <family val="2"/>
      <scheme val="minor"/>
    </font>
    <font>
      <sz val="12"/>
      <color theme="1"/>
      <name val="Calibri"/>
      <family val="2"/>
      <scheme val="minor"/>
    </font>
    <font>
      <sz val="11"/>
      <color theme="1"/>
      <name val="Calibri"/>
      <family val="2"/>
      <scheme val="minor"/>
    </font>
    <font>
      <sz val="10"/>
      <name val="Arial"/>
      <family val="2"/>
    </font>
    <font>
      <sz val="8"/>
      <name val="Arial"/>
      <family val="2"/>
    </font>
    <font>
      <b/>
      <sz val="12"/>
      <color indexed="8"/>
      <name val="Arial"/>
      <family val="2"/>
    </font>
    <font>
      <b/>
      <sz val="8"/>
      <color indexed="8"/>
      <name val="Arial"/>
      <family val="2"/>
    </font>
    <font>
      <sz val="8"/>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9"/>
      <name val="Arial"/>
      <family val="2"/>
    </font>
    <font>
      <b/>
      <sz val="8"/>
      <color indexed="9"/>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sz val="8"/>
      <color indexed="12"/>
      <name val="Arial"/>
      <family val="2"/>
    </font>
    <font>
      <sz val="8"/>
      <color indexed="8"/>
      <name val="Wingdings"/>
      <charset val="2"/>
    </font>
    <font>
      <b/>
      <sz val="8"/>
      <color indexed="81"/>
      <name val="Tahoma"/>
      <family val="2"/>
    </font>
    <font>
      <sz val="8"/>
      <color indexed="81"/>
      <name val="Tahoma"/>
      <family val="2"/>
    </font>
    <font>
      <sz val="10"/>
      <name val="Verdana"/>
      <family val="2"/>
    </font>
    <font>
      <sz val="10"/>
      <color indexed="8"/>
      <name val="Arial"/>
      <family val="2"/>
    </font>
    <font>
      <b/>
      <sz val="9"/>
      <color indexed="81"/>
      <name val="Tahoma"/>
      <family val="2"/>
    </font>
    <font>
      <sz val="9"/>
      <color indexed="81"/>
      <name val="Tahoma"/>
      <family val="2"/>
    </font>
    <font>
      <b/>
      <sz val="12"/>
      <name val="Arial"/>
      <family val="2"/>
    </font>
    <font>
      <sz val="10"/>
      <name val="Verdana"/>
      <family val="2"/>
    </font>
    <font>
      <b/>
      <sz val="12"/>
      <color indexed="9"/>
      <name val="Arial"/>
      <family val="2"/>
    </font>
    <font>
      <sz val="12"/>
      <name val="Arial"/>
      <family val="2"/>
    </font>
    <font>
      <sz val="10"/>
      <name val="Arial"/>
      <family val="2"/>
    </font>
    <font>
      <sz val="11"/>
      <name val="Arial"/>
      <family val="2"/>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u/>
      <sz val="10"/>
      <color theme="10"/>
      <name val="Arial"/>
      <family val="2"/>
    </font>
    <font>
      <u/>
      <sz val="10"/>
      <color indexed="12"/>
      <name val="Arial"/>
      <family val="2"/>
    </font>
    <font>
      <u/>
      <sz val="11"/>
      <color theme="10"/>
      <name val="Calibri"/>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color theme="1"/>
      <name val="Calibri"/>
      <family val="2"/>
      <scheme val="minor"/>
    </font>
    <font>
      <u/>
      <sz val="10"/>
      <color theme="11"/>
      <name val="Arial"/>
      <family val="2"/>
    </font>
    <font>
      <u/>
      <sz val="12"/>
      <color indexed="12"/>
      <name val="Calibri"/>
      <family val="2"/>
    </font>
    <font>
      <sz val="8"/>
      <name val="Calibri"/>
      <family val="2"/>
      <scheme val="minor"/>
    </font>
    <font>
      <sz val="11.5"/>
      <name val="Calibri"/>
      <family val="2"/>
      <scheme val="minor"/>
    </font>
    <font>
      <b/>
      <sz val="14"/>
      <name val="Calibri"/>
      <family val="2"/>
      <scheme val="minor"/>
    </font>
    <font>
      <b/>
      <sz val="11.5"/>
      <name val="Calibri"/>
      <family val="2"/>
      <scheme val="minor"/>
    </font>
    <font>
      <i/>
      <sz val="12"/>
      <name val="Calibri"/>
      <family val="2"/>
      <scheme val="minor"/>
    </font>
    <font>
      <b/>
      <sz val="10"/>
      <name val="Arial"/>
      <family val="2"/>
    </font>
    <font>
      <sz val="10"/>
      <name val="Arial"/>
      <family val="2"/>
    </font>
    <font>
      <u/>
      <sz val="10"/>
      <color theme="10"/>
      <name val="Arial"/>
      <family val="2"/>
    </font>
    <font>
      <b/>
      <i/>
      <sz val="11.5"/>
      <name val="Calibri"/>
      <family val="2"/>
      <scheme val="minor"/>
    </font>
    <font>
      <sz val="11.5"/>
      <color theme="0"/>
      <name val="Calibri"/>
      <family val="2"/>
      <scheme val="minor"/>
    </font>
    <font>
      <b/>
      <sz val="11.5"/>
      <color theme="0"/>
      <name val="Calibri"/>
      <family val="2"/>
      <scheme val="minor"/>
    </font>
    <font>
      <b/>
      <sz val="16"/>
      <name val="Calibri"/>
      <family val="2"/>
      <scheme val="minor"/>
    </font>
    <font>
      <b/>
      <sz val="11.5"/>
      <color theme="1"/>
      <name val="Calibri"/>
      <family val="2"/>
      <scheme val="minor"/>
    </font>
    <font>
      <b/>
      <u/>
      <sz val="14"/>
      <name val="Calibri"/>
      <family val="2"/>
      <scheme val="minor"/>
    </font>
    <font>
      <u/>
      <sz val="11.5"/>
      <name val="Calibri"/>
      <family val="2"/>
      <scheme val="minor"/>
    </font>
    <font>
      <b/>
      <u/>
      <sz val="11.5"/>
      <name val="Calibri"/>
      <family val="2"/>
      <scheme val="minor"/>
    </font>
    <font>
      <i/>
      <sz val="11.5"/>
      <name val="Calibri"/>
      <family val="2"/>
      <scheme val="minor"/>
    </font>
    <font>
      <b/>
      <sz val="11.5"/>
      <color indexed="9"/>
      <name val="Calibri"/>
      <family val="2"/>
      <scheme val="minor"/>
    </font>
    <font>
      <u/>
      <sz val="11.5"/>
      <color theme="10"/>
      <name val="Calibri"/>
      <family val="2"/>
      <scheme val="minor"/>
    </font>
    <font>
      <u val="singleAccounting"/>
      <sz val="11.5"/>
      <name val="Calibri"/>
      <family val="2"/>
      <scheme val="minor"/>
    </font>
    <font>
      <b/>
      <u val="singleAccounting"/>
      <sz val="11.5"/>
      <name val="Calibri"/>
      <family val="2"/>
      <scheme val="minor"/>
    </font>
    <font>
      <sz val="11.5"/>
      <color indexed="8"/>
      <name val="Calibri"/>
      <family val="2"/>
      <scheme val="minor"/>
    </font>
    <font>
      <b/>
      <sz val="11.5"/>
      <color indexed="8"/>
      <name val="Calibri"/>
      <family val="2"/>
      <scheme val="minor"/>
    </font>
    <font>
      <sz val="14"/>
      <name val="Calibri"/>
      <family val="2"/>
      <scheme val="minor"/>
    </font>
    <font>
      <i/>
      <u/>
      <sz val="11.5"/>
      <color rgb="FFFF0000"/>
      <name val="Calibri"/>
      <family val="2"/>
      <scheme val="minor"/>
    </font>
    <font>
      <b/>
      <i/>
      <sz val="10"/>
      <name val="Arial"/>
      <family val="2"/>
    </font>
    <font>
      <sz val="11.5"/>
      <name val="Calibri"/>
      <family val="2"/>
    </font>
    <font>
      <b/>
      <sz val="11.5"/>
      <name val="Calibri"/>
      <family val="2"/>
    </font>
    <font>
      <sz val="11.5"/>
      <color rgb="FFFF0000"/>
      <name val="Calibri"/>
      <family val="2"/>
      <scheme val="minor"/>
    </font>
    <font>
      <b/>
      <sz val="11.5"/>
      <color rgb="FFFF0000"/>
      <name val="Calibri"/>
      <family val="2"/>
      <scheme val="minor"/>
    </font>
    <font>
      <b/>
      <sz val="12"/>
      <name val="Calibri"/>
      <family val="2"/>
      <scheme val="minor"/>
    </font>
    <font>
      <sz val="10"/>
      <name val="Calibri"/>
      <family val="2"/>
      <scheme val="minor"/>
    </font>
    <font>
      <b/>
      <sz val="14"/>
      <color theme="0"/>
      <name val="Calibri"/>
      <family val="2"/>
      <scheme val="minor"/>
    </font>
    <font>
      <b/>
      <sz val="16"/>
      <color theme="0"/>
      <name val="Calibri"/>
      <family val="2"/>
      <scheme val="minor"/>
    </font>
    <font>
      <b/>
      <sz val="11.5"/>
      <color theme="0"/>
      <name val="Calibri"/>
      <family val="2"/>
    </font>
    <font>
      <b/>
      <sz val="11.5"/>
      <color theme="1"/>
      <name val="Calibri"/>
      <family val="2"/>
    </font>
    <font>
      <sz val="12"/>
      <name val="Calibri"/>
      <family val="2"/>
      <scheme val="minor"/>
    </font>
    <font>
      <sz val="11"/>
      <color rgb="FF000000"/>
      <name val="Calibri"/>
      <family val="2"/>
      <scheme val="minor"/>
    </font>
    <font>
      <sz val="8"/>
      <color theme="1"/>
      <name val="Tahoma"/>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theme="1"/>
      <name val="Tahoma"/>
      <family val="2"/>
    </font>
    <font>
      <b/>
      <sz val="8"/>
      <color rgb="FF3F3F3F"/>
      <name val="Tahoma"/>
      <family val="2"/>
    </font>
    <font>
      <sz val="8"/>
      <color theme="3"/>
      <name val="Tahoma"/>
      <family val="2"/>
    </font>
    <font>
      <sz val="8"/>
      <color rgb="FFFF0000"/>
      <name val="Tahoma"/>
      <family val="2"/>
    </font>
    <font>
      <b/>
      <sz val="18"/>
      <name val="Calibri"/>
      <family val="2"/>
      <scheme val="minor"/>
    </font>
    <font>
      <b/>
      <sz val="10"/>
      <color theme="0"/>
      <name val="Arial"/>
      <family val="2"/>
    </font>
    <font>
      <b/>
      <sz val="10"/>
      <color theme="0"/>
      <name val="Calibri"/>
      <family val="2"/>
      <scheme val="minor"/>
    </font>
    <font>
      <sz val="10"/>
      <color theme="1"/>
      <name val="Calibri"/>
      <family val="2"/>
      <scheme val="minor"/>
    </font>
    <font>
      <sz val="10"/>
      <color theme="1"/>
      <name val="Calibri"/>
      <family val="2"/>
    </font>
    <font>
      <sz val="10"/>
      <color rgb="FF00B050"/>
      <name val="Arial"/>
      <family val="2"/>
    </font>
    <font>
      <sz val="10"/>
      <color theme="3"/>
      <name val="Arial"/>
      <family val="2"/>
    </font>
    <font>
      <sz val="8"/>
      <color rgb="FF000000"/>
      <name val="Tahoma"/>
      <family val="2"/>
    </font>
    <font>
      <i/>
      <sz val="11.5"/>
      <color indexed="8"/>
      <name val="Calibri"/>
      <family val="2"/>
      <scheme val="minor"/>
    </font>
    <font>
      <u/>
      <sz val="9"/>
      <color indexed="81"/>
      <name val="Tahoma"/>
      <family val="2"/>
    </font>
    <font>
      <i/>
      <u/>
      <sz val="11.5"/>
      <name val="Calibri"/>
      <family val="2"/>
      <scheme val="minor"/>
    </font>
    <font>
      <sz val="8"/>
      <color theme="0" tint="-0.499984740745262"/>
      <name val="Calibri"/>
      <family val="2"/>
      <scheme val="minor"/>
    </font>
    <font>
      <sz val="10"/>
      <name val="Times New Roman"/>
      <family val="1"/>
    </font>
    <font>
      <sz val="10"/>
      <color theme="1"/>
      <name val="Arial"/>
      <family val="2"/>
    </font>
  </fonts>
  <fills count="9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indexed="31"/>
        <bgColor indexed="64"/>
      </patternFill>
    </fill>
    <fill>
      <patternFill patternType="solid">
        <fgColor indexed="10"/>
        <bgColor indexed="64"/>
      </patternFill>
    </fill>
    <fill>
      <patternFill patternType="solid">
        <fgColor theme="3" tint="-0.49998474074526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21"/>
      </patternFill>
    </fill>
    <fill>
      <patternFill patternType="solid">
        <fgColor indexed="10"/>
        <bgColor indexed="60"/>
      </patternFill>
    </fill>
    <fill>
      <patternFill patternType="solid">
        <fgColor indexed="57"/>
        <bgColor indexed="38"/>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CCCCFF"/>
        <bgColor indexed="64"/>
      </patternFill>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rgb="FFFFC000"/>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336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4" tint="0.59999389629810485"/>
        <bgColor theme="4" tint="0.59999389629810485"/>
      </patternFill>
    </fill>
    <fill>
      <patternFill patternType="solid">
        <fgColor theme="3"/>
        <bgColor indexed="64"/>
      </patternFill>
    </fill>
    <fill>
      <patternFill patternType="solid">
        <fgColor theme="6" tint="0.59999389629810485"/>
        <bgColor indexed="64"/>
      </patternFill>
    </fill>
    <fill>
      <patternFill patternType="solid">
        <fgColor theme="4" tint="0.79998168889431442"/>
        <bgColor theme="4" tint="0.79998168889431442"/>
      </patternFill>
    </fill>
  </fills>
  <borders count="3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23"/>
      </top>
      <bottom/>
      <diagonal/>
    </border>
    <border>
      <left style="thick">
        <color indexed="23"/>
      </left>
      <right/>
      <top/>
      <bottom/>
      <diagonal/>
    </border>
    <border>
      <left/>
      <right style="thick">
        <color indexed="23"/>
      </right>
      <top/>
      <bottom/>
      <diagonal/>
    </border>
    <border>
      <left style="thick">
        <color indexed="23"/>
      </left>
      <right/>
      <top style="thin">
        <color indexed="23"/>
      </top>
      <bottom/>
      <diagonal/>
    </border>
    <border>
      <left/>
      <right/>
      <top style="thin">
        <color indexed="23"/>
      </top>
      <bottom/>
      <diagonal/>
    </border>
    <border>
      <left style="thin">
        <color indexed="23"/>
      </left>
      <right/>
      <top style="thin">
        <color indexed="23"/>
      </top>
      <bottom/>
      <diagonal/>
    </border>
    <border>
      <left style="thick">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23"/>
      </left>
      <right/>
      <top/>
      <bottom style="thin">
        <color indexed="23"/>
      </bottom>
      <diagonal/>
    </border>
    <border>
      <left/>
      <right/>
      <top/>
      <bottom style="thin">
        <color indexed="55"/>
      </bottom>
      <diagonal/>
    </border>
    <border>
      <left style="thin">
        <color indexed="55"/>
      </left>
      <right style="thick">
        <color indexed="23"/>
      </right>
      <top style="thin">
        <color indexed="55"/>
      </top>
      <bottom style="thin">
        <color indexed="55"/>
      </bottom>
      <diagonal/>
    </border>
    <border>
      <left/>
      <right/>
      <top style="thin">
        <color indexed="55"/>
      </top>
      <bottom/>
      <diagonal/>
    </border>
    <border>
      <left/>
      <right/>
      <top style="thin">
        <color indexed="55"/>
      </top>
      <bottom style="thin">
        <color indexed="55"/>
      </bottom>
      <diagonal/>
    </border>
    <border>
      <left style="thick">
        <color indexed="23"/>
      </left>
      <right style="thin">
        <color indexed="22"/>
      </right>
      <top/>
      <bottom style="thick">
        <color indexed="23"/>
      </bottom>
      <diagonal/>
    </border>
    <border>
      <left/>
      <right/>
      <top/>
      <bottom style="thick">
        <color indexed="23"/>
      </bottom>
      <diagonal/>
    </border>
    <border>
      <left style="thin">
        <color indexed="22"/>
      </left>
      <right/>
      <top/>
      <bottom style="thick">
        <color indexed="23"/>
      </bottom>
      <diagonal/>
    </border>
    <border>
      <left style="thin">
        <color indexed="55"/>
      </left>
      <right style="thin">
        <color indexed="55"/>
      </right>
      <top style="thin">
        <color indexed="55"/>
      </top>
      <bottom style="thin">
        <color indexed="55"/>
      </bottom>
      <diagonal/>
    </border>
    <border>
      <left/>
      <right/>
      <top style="thin">
        <color indexed="23"/>
      </top>
      <bottom style="thin">
        <color indexed="23"/>
      </bottom>
      <diagonal/>
    </border>
    <border>
      <left/>
      <right style="thin">
        <color indexed="55"/>
      </right>
      <top style="thin">
        <color indexed="55"/>
      </top>
      <bottom style="thin">
        <color indexed="55"/>
      </bottom>
      <diagonal/>
    </border>
    <border>
      <left/>
      <right style="thick">
        <color indexed="23"/>
      </right>
      <top style="thin">
        <color indexed="23"/>
      </top>
      <bottom/>
      <diagonal/>
    </border>
    <border>
      <left/>
      <right style="thick">
        <color indexed="23"/>
      </right>
      <top/>
      <bottom style="thin">
        <color indexed="55"/>
      </bottom>
      <diagonal/>
    </border>
    <border>
      <left style="thin">
        <color indexed="23"/>
      </left>
      <right style="thick">
        <color indexed="23"/>
      </right>
      <top style="thin">
        <color indexed="55"/>
      </top>
      <bottom style="thin">
        <color indexed="55"/>
      </bottom>
      <diagonal/>
    </border>
    <border>
      <left/>
      <right style="thick">
        <color indexed="23"/>
      </right>
      <top style="thin">
        <color indexed="55"/>
      </top>
      <bottom/>
      <diagonal/>
    </border>
    <border>
      <left/>
      <right style="thick">
        <color indexed="23"/>
      </right>
      <top style="thin">
        <color indexed="55"/>
      </top>
      <bottom style="thin">
        <color indexed="55"/>
      </bottom>
      <diagonal/>
    </border>
    <border>
      <left style="thin">
        <color indexed="23"/>
      </left>
      <right style="thin">
        <color indexed="55"/>
      </right>
      <top style="thin">
        <color indexed="55"/>
      </top>
      <bottom style="thick">
        <color indexed="23"/>
      </bottom>
      <diagonal/>
    </border>
    <border>
      <left style="thin">
        <color indexed="23"/>
      </left>
      <right style="thick">
        <color indexed="23"/>
      </right>
      <top style="thin">
        <color indexed="55"/>
      </top>
      <bottom style="thick">
        <color indexed="23"/>
      </bottom>
      <diagonal/>
    </border>
    <border>
      <left style="thick">
        <color indexed="23"/>
      </left>
      <right/>
      <top style="thick">
        <color indexed="23"/>
      </top>
      <bottom/>
      <diagonal/>
    </border>
    <border>
      <left/>
      <right style="thick">
        <color indexed="23"/>
      </right>
      <top/>
      <bottom style="thin">
        <color indexed="23"/>
      </bottom>
      <diagonal/>
    </border>
    <border>
      <left style="thin">
        <color indexed="23"/>
      </left>
      <right/>
      <top style="thin">
        <color indexed="55"/>
      </top>
      <bottom style="thin">
        <color indexed="55"/>
      </bottom>
      <diagonal/>
    </border>
    <border>
      <left/>
      <right style="thin">
        <color indexed="23"/>
      </right>
      <top style="thin">
        <color indexed="23"/>
      </top>
      <bottom style="thin">
        <color indexed="23"/>
      </bottom>
      <diagonal/>
    </border>
    <border>
      <left/>
      <right style="thin">
        <color indexed="55"/>
      </right>
      <top style="thin">
        <color indexed="55"/>
      </top>
      <bottom style="thick">
        <color indexed="23"/>
      </bottom>
      <diagonal/>
    </border>
    <border>
      <left/>
      <right style="thin">
        <color indexed="23"/>
      </right>
      <top/>
      <bottom/>
      <diagonal/>
    </border>
    <border>
      <left style="thin">
        <color indexed="23"/>
      </left>
      <right style="thin">
        <color indexed="23"/>
      </right>
      <top/>
      <bottom style="thin">
        <color indexed="23"/>
      </bottom>
      <diagonal/>
    </border>
    <border>
      <left style="thin">
        <color indexed="23"/>
      </left>
      <right style="thin">
        <color indexed="23"/>
      </right>
      <top style="thin">
        <color indexed="55"/>
      </top>
      <bottom style="thin">
        <color indexed="55"/>
      </bottom>
      <diagonal/>
    </border>
    <border>
      <left/>
      <right style="thick">
        <color indexed="55"/>
      </right>
      <top style="thin">
        <color indexed="55"/>
      </top>
      <bottom style="thin">
        <color indexed="55"/>
      </bottom>
      <diagonal/>
    </border>
    <border>
      <left style="thick">
        <color indexed="23"/>
      </left>
      <right/>
      <top/>
      <bottom style="thick">
        <color indexed="23"/>
      </bottom>
      <diagonal/>
    </border>
    <border>
      <left/>
      <right style="thick">
        <color indexed="23"/>
      </right>
      <top style="thick">
        <color indexed="23"/>
      </top>
      <bottom/>
      <diagonal/>
    </border>
    <border>
      <left style="thin">
        <color indexed="23"/>
      </left>
      <right style="thin">
        <color indexed="23"/>
      </right>
      <top style="thin">
        <color indexed="55"/>
      </top>
      <bottom style="thin">
        <color indexed="23"/>
      </bottom>
      <diagonal/>
    </border>
    <border>
      <left style="medium">
        <color auto="1"/>
      </left>
      <right/>
      <top/>
      <bottom/>
      <diagonal/>
    </border>
    <border>
      <left/>
      <right style="medium">
        <color auto="1"/>
      </right>
      <top/>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23"/>
      </left>
      <right style="thin">
        <color indexed="55"/>
      </right>
      <top style="thin">
        <color indexed="55"/>
      </top>
      <bottom style="thin">
        <color indexed="55"/>
      </bottom>
      <diagonal/>
    </border>
    <border>
      <left/>
      <right/>
      <top style="medium">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23"/>
      </top>
      <bottom/>
      <diagonal/>
    </border>
    <border>
      <left style="medium">
        <color indexed="23"/>
      </left>
      <right/>
      <top/>
      <bottom/>
      <diagonal/>
    </border>
    <border>
      <left style="medium">
        <color indexed="23"/>
      </left>
      <right/>
      <top/>
      <bottom style="thin">
        <color indexed="23"/>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55"/>
      </bottom>
      <diagonal/>
    </border>
    <border>
      <left style="thin">
        <color indexed="23"/>
      </left>
      <right style="thin">
        <color indexed="55"/>
      </right>
      <top style="thin">
        <color indexed="23"/>
      </top>
      <bottom style="thin">
        <color indexed="55"/>
      </bottom>
      <diagonal/>
    </border>
    <border>
      <left style="medium">
        <color indexed="23"/>
      </left>
      <right style="medium">
        <color indexed="23"/>
      </right>
      <top/>
      <bottom/>
      <diagonal/>
    </border>
    <border>
      <left/>
      <right/>
      <top/>
      <bottom style="double">
        <color indexed="64"/>
      </bottom>
      <diagonal/>
    </border>
    <border>
      <left style="thick">
        <color indexed="23"/>
      </left>
      <right style="medium">
        <color indexed="23"/>
      </right>
      <top style="medium">
        <color indexed="23"/>
      </top>
      <bottom/>
      <diagonal/>
    </border>
    <border>
      <left style="thick">
        <color indexed="23"/>
      </left>
      <right style="medium">
        <color indexed="23"/>
      </right>
      <top/>
      <bottom/>
      <diagonal/>
    </border>
    <border>
      <left style="medium">
        <color indexed="23"/>
      </left>
      <right/>
      <top style="thin">
        <color indexed="23"/>
      </top>
      <bottom/>
      <diagonal/>
    </border>
    <border>
      <left/>
      <right style="medium">
        <color indexed="23"/>
      </right>
      <top style="thin">
        <color indexed="23"/>
      </top>
      <bottom/>
      <diagonal/>
    </border>
    <border>
      <left/>
      <right style="medium">
        <color indexed="23"/>
      </right>
      <top/>
      <bottom/>
      <diagonal/>
    </border>
    <border>
      <left/>
      <right style="medium">
        <color indexed="23"/>
      </right>
      <top/>
      <bottom style="thin">
        <color indexed="23"/>
      </bottom>
      <diagonal/>
    </border>
    <border>
      <left style="medium">
        <color indexed="23"/>
      </left>
      <right style="medium">
        <color indexed="23"/>
      </right>
      <top/>
      <bottom style="thin">
        <color indexed="23"/>
      </bottom>
      <diagonal/>
    </border>
    <border>
      <left style="medium">
        <color indexed="23"/>
      </left>
      <right/>
      <top style="thin">
        <color indexed="55"/>
      </top>
      <bottom style="thin">
        <color indexed="55"/>
      </bottom>
      <diagonal/>
    </border>
    <border>
      <left style="medium">
        <color indexed="23"/>
      </left>
      <right style="thin">
        <color indexed="55"/>
      </right>
      <top style="thin">
        <color indexed="55"/>
      </top>
      <bottom style="thin">
        <color indexed="55"/>
      </bottom>
      <diagonal/>
    </border>
    <border>
      <left style="thick">
        <color indexed="23"/>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ck">
        <color indexed="23"/>
      </left>
      <right/>
      <top style="thin">
        <color indexed="55"/>
      </top>
      <bottom style="thin">
        <color indexed="55"/>
      </bottom>
      <diagonal/>
    </border>
    <border>
      <left style="medium">
        <color indexed="23"/>
      </left>
      <right style="thin">
        <color indexed="55"/>
      </right>
      <top style="thin">
        <color indexed="55"/>
      </top>
      <bottom style="thick">
        <color indexed="23"/>
      </bottom>
      <diagonal/>
    </border>
    <border>
      <left/>
      <right style="thick">
        <color indexed="23"/>
      </right>
      <top style="thin">
        <color indexed="55"/>
      </top>
      <bottom style="thick">
        <color indexed="23"/>
      </bottom>
      <diagonal/>
    </border>
    <border>
      <left style="thick">
        <color indexed="23"/>
      </left>
      <right style="medium">
        <color indexed="23"/>
      </right>
      <top/>
      <bottom style="medium">
        <color indexed="23"/>
      </bottom>
      <diagonal/>
    </border>
    <border>
      <left/>
      <right/>
      <top style="thick">
        <color indexed="55"/>
      </top>
      <bottom/>
      <diagonal/>
    </border>
    <border>
      <left style="thin">
        <color indexed="55"/>
      </left>
      <right/>
      <top/>
      <bottom/>
      <diagonal/>
    </border>
    <border>
      <left style="thick">
        <color indexed="23"/>
      </left>
      <right style="thin">
        <color indexed="55"/>
      </right>
      <top style="thin">
        <color indexed="55"/>
      </top>
      <bottom style="thick">
        <color indexed="23"/>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55"/>
      </right>
      <top/>
      <bottom/>
      <diagonal/>
    </border>
    <border>
      <left style="thick">
        <color indexed="23"/>
      </left>
      <right style="thin">
        <color indexed="23"/>
      </right>
      <top/>
      <bottom/>
      <diagonal/>
    </border>
    <border>
      <left style="thin">
        <color indexed="23"/>
      </left>
      <right style="medium">
        <color indexed="23"/>
      </right>
      <top/>
      <bottom/>
      <diagonal/>
    </border>
    <border>
      <left style="medium">
        <color indexed="23"/>
      </left>
      <right style="thick">
        <color indexed="23"/>
      </right>
      <top/>
      <bottom/>
      <diagonal/>
    </border>
    <border>
      <left style="thin">
        <color indexed="23"/>
      </left>
      <right/>
      <top/>
      <bottom/>
      <diagonal/>
    </border>
    <border>
      <left style="thick">
        <color indexed="23"/>
      </left>
      <right style="thin">
        <color indexed="23"/>
      </right>
      <top/>
      <bottom style="thin">
        <color indexed="23"/>
      </bottom>
      <diagonal/>
    </border>
    <border>
      <left style="medium">
        <color indexed="23"/>
      </left>
      <right style="thin">
        <color indexed="55"/>
      </right>
      <top/>
      <bottom style="thin">
        <color indexed="55"/>
      </bottom>
      <diagonal/>
    </border>
    <border>
      <left style="thin">
        <color indexed="23"/>
      </left>
      <right style="medium">
        <color indexed="23"/>
      </right>
      <top/>
      <bottom style="thin">
        <color indexed="23"/>
      </bottom>
      <diagonal/>
    </border>
    <border>
      <left style="medium">
        <color indexed="23"/>
      </left>
      <right style="thick">
        <color indexed="23"/>
      </right>
      <top/>
      <bottom style="thin">
        <color indexed="23"/>
      </bottom>
      <diagonal/>
    </border>
    <border>
      <left/>
      <right style="medium">
        <color indexed="23"/>
      </right>
      <top style="thin">
        <color indexed="55"/>
      </top>
      <bottom style="thin">
        <color indexed="55"/>
      </bottom>
      <diagonal/>
    </border>
    <border>
      <left style="thick">
        <color indexed="23"/>
      </left>
      <right style="thin">
        <color indexed="23"/>
      </right>
      <top style="thin">
        <color indexed="55"/>
      </top>
      <bottom style="thin">
        <color indexed="55"/>
      </bottom>
      <diagonal/>
    </border>
    <border>
      <left style="thin">
        <color indexed="23"/>
      </left>
      <right style="medium">
        <color indexed="23"/>
      </right>
      <top style="thin">
        <color indexed="23"/>
      </top>
      <bottom style="thin">
        <color indexed="23"/>
      </bottom>
      <diagonal/>
    </border>
    <border>
      <left/>
      <right style="medium">
        <color indexed="55"/>
      </right>
      <top style="thin">
        <color indexed="55"/>
      </top>
      <bottom style="thin">
        <color indexed="55"/>
      </bottom>
      <diagonal/>
    </border>
    <border>
      <left style="thick">
        <color indexed="64"/>
      </left>
      <right style="thick">
        <color indexed="64"/>
      </right>
      <top style="thick">
        <color indexed="64"/>
      </top>
      <bottom style="thick">
        <color indexed="64"/>
      </bottom>
      <diagonal/>
    </border>
    <border>
      <left style="thin">
        <color indexed="23"/>
      </left>
      <right style="medium">
        <color indexed="23"/>
      </right>
      <top style="thin">
        <color indexed="55"/>
      </top>
      <bottom style="thin">
        <color indexed="55"/>
      </bottom>
      <diagonal/>
    </border>
    <border>
      <left style="medium">
        <color indexed="23"/>
      </left>
      <right style="thick">
        <color indexed="23"/>
      </right>
      <top style="thin">
        <color indexed="55"/>
      </top>
      <bottom style="thin">
        <color indexed="55"/>
      </bottom>
      <diagonal/>
    </border>
    <border>
      <left style="thin">
        <color indexed="23"/>
      </left>
      <right style="medium">
        <color indexed="55"/>
      </right>
      <top style="thin">
        <color indexed="55"/>
      </top>
      <bottom style="thin">
        <color indexed="55"/>
      </bottom>
      <diagonal/>
    </border>
    <border>
      <left style="medium">
        <color indexed="23"/>
      </left>
      <right style="thin">
        <color indexed="23"/>
      </right>
      <top style="thin">
        <color indexed="55"/>
      </top>
      <bottom style="thin">
        <color indexed="55"/>
      </bottom>
      <diagonal/>
    </border>
    <border>
      <left style="thin">
        <color indexed="23"/>
      </left>
      <right style="medium">
        <color indexed="23"/>
      </right>
      <top style="thin">
        <color indexed="23"/>
      </top>
      <bottom style="thin">
        <color indexed="55"/>
      </bottom>
      <diagonal/>
    </border>
    <border>
      <left style="thin">
        <color indexed="23"/>
      </left>
      <right style="medium">
        <color indexed="55"/>
      </right>
      <top style="thin">
        <color indexed="55"/>
      </top>
      <bottom style="thick">
        <color indexed="23"/>
      </bottom>
      <diagonal/>
    </border>
    <border>
      <left style="thick">
        <color indexed="23"/>
      </left>
      <right/>
      <top style="thin">
        <color indexed="55"/>
      </top>
      <bottom style="thick">
        <color indexed="55"/>
      </bottom>
      <diagonal/>
    </border>
    <border>
      <left style="thin">
        <color indexed="23"/>
      </left>
      <right/>
      <top style="thin">
        <color indexed="55"/>
      </top>
      <bottom style="thick">
        <color indexed="55"/>
      </bottom>
      <diagonal/>
    </border>
    <border>
      <left style="thin">
        <color indexed="23"/>
      </left>
      <right style="medium">
        <color indexed="23"/>
      </right>
      <top style="thin">
        <color indexed="55"/>
      </top>
      <bottom style="thick">
        <color indexed="55"/>
      </bottom>
      <diagonal/>
    </border>
    <border>
      <left style="medium">
        <color indexed="23"/>
      </left>
      <right/>
      <top style="thin">
        <color indexed="55"/>
      </top>
      <bottom style="thick">
        <color indexed="55"/>
      </bottom>
      <diagonal/>
    </border>
    <border>
      <left style="thin">
        <color indexed="23"/>
      </left>
      <right style="medium">
        <color indexed="55"/>
      </right>
      <top style="thin">
        <color indexed="55"/>
      </top>
      <bottom style="thick">
        <color indexed="55"/>
      </bottom>
      <diagonal/>
    </border>
    <border>
      <left/>
      <right style="thick">
        <color indexed="23"/>
      </right>
      <top style="thin">
        <color indexed="55"/>
      </top>
      <bottom style="thick">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23"/>
      </right>
      <top style="thin">
        <color indexed="55"/>
      </top>
      <bottom style="thin">
        <color indexed="55"/>
      </bottom>
      <diagonal/>
    </border>
    <border>
      <left/>
      <right style="medium">
        <color indexed="23"/>
      </right>
      <top/>
      <bottom style="medium">
        <color indexed="23"/>
      </bottom>
      <diagonal/>
    </border>
    <border>
      <left style="thick">
        <color indexed="23"/>
      </left>
      <right/>
      <top/>
      <bottom style="thin">
        <color indexed="55"/>
      </bottom>
      <diagonal/>
    </border>
    <border>
      <left style="medium">
        <color indexed="55"/>
      </left>
      <right style="thin">
        <color indexed="23"/>
      </right>
      <top style="thin">
        <color indexed="55"/>
      </top>
      <bottom style="thin">
        <color indexed="23"/>
      </bottom>
      <diagonal/>
    </border>
    <border>
      <left style="medium">
        <color indexed="55"/>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ck">
        <color indexed="55"/>
      </bottom>
      <diagonal/>
    </border>
    <border>
      <left style="thin">
        <color indexed="55"/>
      </left>
      <right/>
      <top/>
      <bottom style="thick">
        <color indexed="55"/>
      </bottom>
      <diagonal/>
    </border>
    <border>
      <left/>
      <right/>
      <top/>
      <bottom style="thick">
        <color indexed="55"/>
      </bottom>
      <diagonal/>
    </border>
    <border>
      <left style="medium">
        <color indexed="55"/>
      </left>
      <right style="thin">
        <color indexed="55"/>
      </right>
      <top style="thin">
        <color indexed="55"/>
      </top>
      <bottom style="thick">
        <color indexed="55"/>
      </bottom>
      <diagonal/>
    </border>
    <border>
      <left style="thin">
        <color indexed="55"/>
      </left>
      <right style="thick">
        <color indexed="23"/>
      </right>
      <top style="thin">
        <color indexed="55"/>
      </top>
      <bottom style="thick">
        <color indexed="55"/>
      </bottom>
      <diagonal/>
    </border>
    <border>
      <left style="thick">
        <color indexed="23"/>
      </left>
      <right/>
      <top/>
      <bottom style="medium">
        <color indexed="64"/>
      </bottom>
      <diagonal/>
    </border>
    <border>
      <left style="medium">
        <color indexed="23"/>
      </left>
      <right style="thin">
        <color indexed="55"/>
      </right>
      <top style="thin">
        <color indexed="55"/>
      </top>
      <bottom style="medium">
        <color indexed="64"/>
      </bottom>
      <diagonal/>
    </border>
    <border>
      <left style="thin">
        <color indexed="23"/>
      </left>
      <right style="thin">
        <color indexed="55"/>
      </right>
      <top style="thin">
        <color indexed="55"/>
      </top>
      <bottom style="medium">
        <color indexed="64"/>
      </bottom>
      <diagonal/>
    </border>
    <border>
      <left style="thin">
        <color indexed="23"/>
      </left>
      <right style="medium">
        <color indexed="55"/>
      </right>
      <top style="thin">
        <color indexed="55"/>
      </top>
      <bottom style="medium">
        <color indexed="64"/>
      </bottom>
      <diagonal/>
    </border>
    <border>
      <left/>
      <right style="thin">
        <color indexed="55"/>
      </right>
      <top style="thin">
        <color indexed="55"/>
      </top>
      <bottom style="medium">
        <color indexed="64"/>
      </bottom>
      <diagonal/>
    </border>
    <border>
      <left style="thin">
        <color indexed="23"/>
      </left>
      <right style="thick">
        <color indexed="23"/>
      </right>
      <top style="thin">
        <color indexed="55"/>
      </top>
      <bottom style="medium">
        <color indexed="64"/>
      </bottom>
      <diagonal/>
    </border>
    <border>
      <left style="thick">
        <color indexed="23"/>
      </left>
      <right style="thin">
        <color indexed="55"/>
      </right>
      <top style="thin">
        <color indexed="55"/>
      </top>
      <bottom style="medium">
        <color indexed="64"/>
      </bottom>
      <diagonal/>
    </border>
    <border>
      <left style="thin">
        <color indexed="23"/>
      </left>
      <right style="medium">
        <color indexed="23"/>
      </right>
      <top style="thin">
        <color indexed="55"/>
      </top>
      <bottom style="medium">
        <color indexed="64"/>
      </bottom>
      <diagonal/>
    </border>
    <border>
      <left/>
      <right style="thick">
        <color indexed="23"/>
      </right>
      <top style="thin">
        <color indexed="55"/>
      </top>
      <bottom style="medium">
        <color indexed="64"/>
      </bottom>
      <diagonal/>
    </border>
    <border>
      <left/>
      <right style="medium">
        <color indexed="23"/>
      </right>
      <top/>
      <bottom style="medium">
        <color indexed="64"/>
      </bottom>
      <diagonal/>
    </border>
    <border>
      <left/>
      <right style="thin">
        <color indexed="64"/>
      </right>
      <top/>
      <bottom style="thin">
        <color indexed="64"/>
      </bottom>
      <diagonal/>
    </border>
    <border>
      <left/>
      <right style="medium">
        <color indexed="23"/>
      </right>
      <top style="thick">
        <color indexed="23"/>
      </top>
      <bottom/>
      <diagonal/>
    </border>
    <border>
      <left/>
      <right style="thick">
        <color indexed="55"/>
      </right>
      <top style="thick">
        <color indexed="23"/>
      </top>
      <bottom/>
      <diagonal/>
    </border>
    <border>
      <left style="thick">
        <color indexed="55"/>
      </left>
      <right/>
      <top style="thick">
        <color indexed="23"/>
      </top>
      <bottom/>
      <diagonal/>
    </border>
    <border>
      <left/>
      <right style="thick">
        <color indexed="55"/>
      </right>
      <top/>
      <bottom/>
      <diagonal/>
    </border>
    <border>
      <left style="thick">
        <color indexed="55"/>
      </left>
      <right/>
      <top style="thick">
        <color indexed="55"/>
      </top>
      <bottom/>
      <diagonal/>
    </border>
    <border>
      <left style="thick">
        <color indexed="55"/>
      </left>
      <right/>
      <top/>
      <bottom/>
      <diagonal/>
    </border>
    <border>
      <left/>
      <right style="thick">
        <color indexed="23"/>
      </right>
      <top style="medium">
        <color indexed="23"/>
      </top>
      <bottom/>
      <diagonal/>
    </border>
    <border>
      <left/>
      <right style="medium">
        <color indexed="23"/>
      </right>
      <top/>
      <bottom style="thick">
        <color indexed="23"/>
      </bottom>
      <diagonal/>
    </border>
    <border>
      <left style="thin">
        <color indexed="55"/>
      </left>
      <right style="medium">
        <color indexed="23"/>
      </right>
      <top/>
      <bottom/>
      <diagonal/>
    </border>
    <border>
      <left style="thin">
        <color auto="1"/>
      </left>
      <right style="thin">
        <color auto="1"/>
      </right>
      <top/>
      <bottom/>
      <diagonal/>
    </border>
    <border>
      <left/>
      <right style="medium">
        <color indexed="64"/>
      </right>
      <top/>
      <bottom/>
      <diagonal/>
    </border>
    <border>
      <left style="thin">
        <color auto="1"/>
      </left>
      <right style="medium">
        <color indexed="64"/>
      </right>
      <top style="medium">
        <color indexed="64"/>
      </top>
      <bottom style="thin">
        <color auto="1"/>
      </bottom>
      <diagonal/>
    </border>
    <border>
      <left/>
      <right style="thick">
        <color indexed="23"/>
      </right>
      <top style="thin">
        <color indexed="55"/>
      </top>
      <bottom style="thin">
        <color indexed="23"/>
      </bottom>
      <diagonal/>
    </border>
    <border>
      <left/>
      <right style="thick">
        <color indexed="23"/>
      </right>
      <top/>
      <bottom style="thick">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diagonal/>
    </border>
    <border>
      <left style="medium">
        <color indexed="23"/>
      </left>
      <right/>
      <top style="thin">
        <color indexed="23"/>
      </top>
      <bottom/>
      <diagonal/>
    </border>
    <border>
      <left/>
      <right style="medium">
        <color indexed="23"/>
      </right>
      <top style="thin">
        <color indexed="55"/>
      </top>
      <bottom/>
      <diagonal/>
    </border>
    <border>
      <left/>
      <right style="thick">
        <color indexed="23"/>
      </right>
      <top style="thin">
        <color indexed="55"/>
      </top>
      <bottom/>
      <diagonal/>
    </border>
    <border>
      <left style="thick">
        <color indexed="23"/>
      </left>
      <right style="thin">
        <color indexed="23"/>
      </right>
      <top style="thin">
        <color indexed="23"/>
      </top>
      <bottom/>
      <diagonal/>
    </border>
    <border>
      <left/>
      <right style="thin">
        <color indexed="23"/>
      </right>
      <top style="thin">
        <color indexed="23"/>
      </top>
      <bottom/>
      <diagonal/>
    </border>
    <border>
      <left style="thin">
        <color indexed="23"/>
      </left>
      <right style="medium">
        <color indexed="23"/>
      </right>
      <top style="thin">
        <color indexed="23"/>
      </top>
      <bottom/>
      <diagonal/>
    </border>
    <border>
      <left style="medium">
        <color indexed="23"/>
      </left>
      <right style="thick">
        <color indexed="23"/>
      </right>
      <top style="thin">
        <color indexed="23"/>
      </top>
      <bottom/>
      <diagonal/>
    </border>
    <border>
      <left style="medium">
        <color indexed="23"/>
      </left>
      <right style="thin">
        <color indexed="23"/>
      </right>
      <top/>
      <bottom style="thin">
        <color indexed="23"/>
      </bottom>
      <diagonal/>
    </border>
    <border>
      <left style="thick">
        <color indexed="23"/>
      </left>
      <right/>
      <top style="thin">
        <color indexed="23"/>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bottom/>
      <diagonal/>
    </border>
    <border>
      <left style="medium">
        <color indexed="23"/>
      </left>
      <right/>
      <top style="thin">
        <color indexed="55"/>
      </top>
      <bottom style="thin">
        <color indexed="55"/>
      </bottom>
      <diagonal/>
    </border>
    <border>
      <left style="medium">
        <color indexed="23"/>
      </left>
      <right style="thin">
        <color indexed="55"/>
      </right>
      <top style="thin">
        <color indexed="55"/>
      </top>
      <bottom style="thin">
        <color indexed="55"/>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55"/>
      </top>
      <bottom style="thin">
        <color indexed="55"/>
      </bottom>
      <diagonal/>
    </border>
    <border>
      <left style="thin">
        <color auto="1"/>
      </left>
      <right style="thin">
        <color auto="1"/>
      </right>
      <top style="thin">
        <color auto="1"/>
      </top>
      <bottom style="thin">
        <color auto="1"/>
      </bottom>
      <diagonal/>
    </border>
    <border>
      <left style="medium">
        <color indexed="55"/>
      </left>
      <right style="thin">
        <color indexed="55"/>
      </right>
      <top style="thin">
        <color indexed="55"/>
      </top>
      <bottom style="thin">
        <color indexed="55"/>
      </bottom>
      <diagonal/>
    </border>
    <border>
      <left style="thick">
        <color indexed="23"/>
      </left>
      <right style="medium">
        <color indexed="23"/>
      </right>
      <top style="thick">
        <color indexed="23"/>
      </top>
      <bottom/>
      <diagonal/>
    </border>
    <border>
      <left/>
      <right style="medium">
        <color indexed="23"/>
      </right>
      <top style="thin">
        <color indexed="23"/>
      </top>
      <bottom/>
      <diagonal/>
    </border>
    <border>
      <left/>
      <right style="thick">
        <color indexed="23"/>
      </right>
      <top style="thin">
        <color indexed="23"/>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style="thin">
        <color indexed="55"/>
      </left>
      <right style="thick">
        <color indexed="23"/>
      </right>
      <top style="thin">
        <color indexed="55"/>
      </top>
      <bottom style="thin">
        <color indexed="55"/>
      </bottom>
      <diagonal/>
    </border>
    <border>
      <left style="thick">
        <color indexed="23"/>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medium">
        <color indexed="23"/>
      </left>
      <right style="medium">
        <color indexed="23"/>
      </right>
      <top style="thin">
        <color indexed="55"/>
      </top>
      <bottom style="thin">
        <color indexed="55"/>
      </bottom>
      <diagonal/>
    </border>
    <border>
      <left/>
      <right style="thick">
        <color indexed="23"/>
      </right>
      <top style="thin">
        <color indexed="55"/>
      </top>
      <bottom style="thin">
        <color indexed="55"/>
      </bottom>
      <diagonal/>
    </border>
    <border>
      <left style="thin">
        <color indexed="55"/>
      </left>
      <right style="thin">
        <color indexed="55"/>
      </right>
      <top style="thin">
        <color indexed="55"/>
      </top>
      <bottom/>
      <diagonal/>
    </border>
    <border>
      <left style="thin">
        <color indexed="23"/>
      </left>
      <right style="thin">
        <color indexed="55"/>
      </right>
      <top style="thin">
        <color indexed="55"/>
      </top>
      <bottom style="thin">
        <color indexed="55"/>
      </bottom>
      <diagonal/>
    </border>
    <border>
      <left style="thin">
        <color indexed="23"/>
      </left>
      <right style="thick">
        <color indexed="23"/>
      </right>
      <top style="thin">
        <color indexed="55"/>
      </top>
      <bottom style="thin">
        <color indexed="55"/>
      </bottom>
      <diagonal/>
    </border>
    <border>
      <left style="thin">
        <color indexed="23"/>
      </left>
      <right/>
      <top style="thin">
        <color indexed="55"/>
      </top>
      <bottom style="thin">
        <color indexed="55"/>
      </bottom>
      <diagonal/>
    </border>
    <border>
      <left style="thick">
        <color indexed="23"/>
      </left>
      <right/>
      <top style="thin">
        <color indexed="55"/>
      </top>
      <bottom style="thin">
        <color indexed="55"/>
      </bottom>
      <diagonal/>
    </border>
    <border>
      <left/>
      <right/>
      <top style="thin">
        <color indexed="55"/>
      </top>
      <bottom/>
      <diagonal/>
    </border>
    <border>
      <left/>
      <right style="thick">
        <color indexed="55"/>
      </right>
      <top style="thin">
        <color indexed="55"/>
      </top>
      <bottom style="thin">
        <color indexed="55"/>
      </bottom>
      <diagonal/>
    </border>
    <border>
      <left style="thick">
        <color indexed="55"/>
      </left>
      <right/>
      <top style="thin">
        <color indexed="55"/>
      </top>
      <bottom style="thin">
        <color indexed="55"/>
      </bottom>
      <diagonal/>
    </border>
    <border>
      <left/>
      <right/>
      <top style="thin">
        <color indexed="55"/>
      </top>
      <bottom style="thick">
        <color indexed="23"/>
      </bottom>
      <diagonal/>
    </border>
    <border>
      <left style="medium">
        <color indexed="23"/>
      </left>
      <right/>
      <top style="thin">
        <color indexed="55"/>
      </top>
      <bottom style="thick">
        <color indexed="23"/>
      </bottom>
      <diagonal/>
    </border>
    <border>
      <left style="thin">
        <color indexed="23"/>
      </left>
      <right style="thin">
        <color indexed="23"/>
      </right>
      <top style="thin">
        <color indexed="55"/>
      </top>
      <bottom style="thick">
        <color indexed="23"/>
      </bottom>
      <diagonal/>
    </border>
    <border>
      <left style="medium">
        <color indexed="23"/>
      </left>
      <right style="thin">
        <color indexed="55"/>
      </right>
      <top style="thin">
        <color indexed="55"/>
      </top>
      <bottom style="thick">
        <color indexed="23"/>
      </bottom>
      <diagonal/>
    </border>
    <border>
      <left style="thin">
        <color indexed="23"/>
      </left>
      <right style="thin">
        <color indexed="55"/>
      </right>
      <top style="thin">
        <color indexed="55"/>
      </top>
      <bottom style="thick">
        <color indexed="23"/>
      </bottom>
      <diagonal/>
    </border>
    <border>
      <left/>
      <right style="thick">
        <color indexed="55"/>
      </right>
      <top style="thin">
        <color indexed="55"/>
      </top>
      <bottom style="thick">
        <color indexed="23"/>
      </bottom>
      <diagonal/>
    </border>
    <border>
      <left style="thick">
        <color indexed="55"/>
      </left>
      <right style="thin">
        <color indexed="55"/>
      </right>
      <top style="thin">
        <color indexed="55"/>
      </top>
      <bottom/>
      <diagonal/>
    </border>
    <border>
      <left style="thin">
        <color indexed="23"/>
      </left>
      <right style="thin">
        <color indexed="55"/>
      </right>
      <top style="thin">
        <color indexed="55"/>
      </top>
      <bottom/>
      <diagonal/>
    </border>
    <border>
      <left style="medium">
        <color indexed="23"/>
      </left>
      <right style="medium">
        <color indexed="23"/>
      </right>
      <top style="thin">
        <color indexed="55"/>
      </top>
      <bottom/>
      <diagonal/>
    </border>
    <border>
      <left/>
      <right style="thick">
        <color indexed="23"/>
      </right>
      <top style="thin">
        <color indexed="55"/>
      </top>
      <bottom style="medium">
        <color indexed="23"/>
      </bottom>
      <diagonal/>
    </border>
    <border>
      <left style="thin">
        <color indexed="55"/>
      </left>
      <right style="medium">
        <color indexed="55"/>
      </right>
      <top style="thin">
        <color indexed="55"/>
      </top>
      <bottom style="thin">
        <color indexed="55"/>
      </bottom>
      <diagonal/>
    </border>
    <border>
      <left style="thin">
        <color indexed="23"/>
      </left>
      <right style="thick">
        <color indexed="55"/>
      </right>
      <top style="thin">
        <color indexed="55"/>
      </top>
      <bottom style="thick">
        <color indexed="23"/>
      </bottom>
      <diagonal/>
    </border>
    <border>
      <left style="thick">
        <color indexed="55"/>
      </left>
      <right style="thin">
        <color indexed="55"/>
      </right>
      <top style="thin">
        <color indexed="55"/>
      </top>
      <bottom style="thick">
        <color indexed="23"/>
      </bottom>
      <diagonal/>
    </border>
    <border>
      <left style="thin">
        <color indexed="23"/>
      </left>
      <right/>
      <top style="thin">
        <color indexed="55"/>
      </top>
      <bottom style="thick">
        <color indexed="23"/>
      </bottom>
      <diagonal/>
    </border>
    <border>
      <left style="medium">
        <color indexed="23"/>
      </left>
      <right style="medium">
        <color indexed="23"/>
      </right>
      <top style="thin">
        <color indexed="55"/>
      </top>
      <bottom style="thick">
        <color indexed="23"/>
      </bottom>
      <diagonal/>
    </border>
    <border>
      <left/>
      <right style="thick">
        <color indexed="23"/>
      </right>
      <top style="thin">
        <color indexed="55"/>
      </top>
      <bottom style="thick">
        <color indexed="23"/>
      </bottom>
      <diagonal/>
    </border>
    <border>
      <left/>
      <right style="medium">
        <color indexed="23"/>
      </right>
      <top style="thin">
        <color indexed="55"/>
      </top>
      <bottom style="thin">
        <color indexed="55"/>
      </bottom>
      <diagonal/>
    </border>
    <border>
      <left/>
      <right style="medium">
        <color indexed="23"/>
      </right>
      <top style="thin">
        <color indexed="55"/>
      </top>
      <bottom style="thick">
        <color indexed="23"/>
      </bottom>
      <diagonal/>
    </border>
    <border>
      <left style="thin">
        <color indexed="55"/>
      </left>
      <right/>
      <top style="thin">
        <color indexed="55"/>
      </top>
      <bottom style="thick">
        <color indexed="23"/>
      </bottom>
      <diagonal/>
    </border>
    <border>
      <left style="thin">
        <color indexed="55"/>
      </left>
      <right style="thick">
        <color indexed="23"/>
      </right>
      <top style="thin">
        <color indexed="55"/>
      </top>
      <bottom style="thick">
        <color indexed="23"/>
      </bottom>
      <diagonal/>
    </border>
    <border>
      <left style="thick">
        <color indexed="23"/>
      </left>
      <right style="medium">
        <color indexed="23"/>
      </right>
      <top/>
      <bottom style="thick">
        <color indexed="23"/>
      </bottom>
      <diagonal/>
    </border>
    <border>
      <left style="thick">
        <color indexed="55"/>
      </left>
      <right/>
      <top/>
      <bottom style="thin">
        <color indexed="55"/>
      </bottom>
      <diagonal/>
    </border>
    <border>
      <left style="thin">
        <color theme="0"/>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ck">
        <color indexed="23"/>
      </top>
      <bottom style="thin">
        <color indexed="23"/>
      </bottom>
      <diagonal/>
    </border>
    <border>
      <left/>
      <right style="thick">
        <color indexed="23"/>
      </right>
      <top style="thick">
        <color indexed="23"/>
      </top>
      <bottom style="thin">
        <color indexed="23"/>
      </bottom>
      <diagonal/>
    </border>
    <border>
      <left/>
      <right style="thin">
        <color indexed="64"/>
      </right>
      <top style="thin">
        <color indexed="64"/>
      </top>
      <bottom/>
      <diagonal/>
    </border>
    <border>
      <left style="medium">
        <color indexed="23"/>
      </left>
      <right style="medium">
        <color indexed="23"/>
      </right>
      <top style="thin">
        <color indexed="23"/>
      </top>
      <bottom/>
      <diagonal/>
    </border>
    <border>
      <left style="medium">
        <color indexed="23"/>
      </left>
      <right style="medium">
        <color indexed="23"/>
      </right>
      <top style="thin">
        <color indexed="23"/>
      </top>
      <bottom style="thin">
        <color indexed="23"/>
      </bottom>
      <diagonal/>
    </border>
    <border>
      <left style="thin">
        <color indexed="23"/>
      </left>
      <right style="thin">
        <color indexed="23"/>
      </right>
      <top style="thin">
        <color indexed="55"/>
      </top>
      <bottom style="thin">
        <color indexed="55"/>
      </bottom>
      <diagonal/>
    </border>
    <border>
      <left style="thin">
        <color indexed="23"/>
      </left>
      <right style="thin">
        <color indexed="23"/>
      </right>
      <top style="thin">
        <color indexed="55"/>
      </top>
      <bottom style="thin">
        <color indexed="23"/>
      </bottom>
      <diagonal/>
    </border>
    <border>
      <left style="thin">
        <color indexed="64"/>
      </left>
      <right/>
      <top style="thin">
        <color indexed="64"/>
      </top>
      <bottom/>
      <diagonal/>
    </border>
    <border>
      <left style="thin">
        <color indexed="64"/>
      </left>
      <right/>
      <top/>
      <bottom style="thin">
        <color indexed="64"/>
      </bottom>
      <diagonal/>
    </border>
    <border>
      <left style="thin">
        <color indexed="23"/>
      </left>
      <right style="thin">
        <color indexed="55"/>
      </right>
      <top style="thin">
        <color indexed="23"/>
      </top>
      <bottom style="thin">
        <color indexed="23"/>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55"/>
      </right>
      <top style="thin">
        <color indexed="23"/>
      </top>
      <bottom style="thin">
        <color indexed="23"/>
      </bottom>
      <diagonal/>
    </border>
    <border>
      <left/>
      <right style="thin">
        <color indexed="55"/>
      </right>
      <top style="thin">
        <color indexed="23"/>
      </top>
      <bottom style="thin">
        <color indexed="55"/>
      </bottom>
      <diagonal/>
    </border>
    <border>
      <left/>
      <right style="thin">
        <color indexed="23"/>
      </right>
      <top style="thin">
        <color indexed="55"/>
      </top>
      <bottom style="thin">
        <color indexed="23"/>
      </bottom>
      <diagonal/>
    </border>
    <border>
      <left style="thin">
        <color indexed="23"/>
      </left>
      <right style="medium">
        <color indexed="23"/>
      </right>
      <top style="thin">
        <color indexed="55"/>
      </top>
      <bottom style="thin">
        <color indexed="23"/>
      </bottom>
      <diagonal/>
    </border>
    <border>
      <left/>
      <right style="thin">
        <color indexed="23"/>
      </right>
      <top style="thin">
        <color indexed="55"/>
      </top>
      <bottom style="thin">
        <color indexed="55"/>
      </bottom>
      <diagonal/>
    </border>
    <border>
      <left/>
      <right style="thin">
        <color indexed="23"/>
      </right>
      <top style="thin">
        <color indexed="55"/>
      </top>
      <bottom style="thick">
        <color indexed="23"/>
      </bottom>
      <diagonal/>
    </border>
    <border>
      <left style="thin">
        <color indexed="23"/>
      </left>
      <right style="medium">
        <color indexed="23"/>
      </right>
      <top style="thin">
        <color indexed="55"/>
      </top>
      <bottom style="thick">
        <color indexed="23"/>
      </bottom>
      <diagonal/>
    </border>
    <border>
      <left style="thin">
        <color indexed="23"/>
      </left>
      <right style="medium">
        <color indexed="55"/>
      </right>
      <top style="thin">
        <color indexed="55"/>
      </top>
      <bottom style="thin">
        <color indexed="23"/>
      </bottom>
      <diagonal/>
    </border>
    <border>
      <left style="thin">
        <color indexed="23"/>
      </left>
      <right style="thin">
        <color indexed="55"/>
      </right>
      <top style="thin">
        <color indexed="55"/>
      </top>
      <bottom style="thin">
        <color indexed="23"/>
      </bottom>
      <diagonal/>
    </border>
    <border>
      <left style="thin">
        <color indexed="55"/>
      </left>
      <right style="thin">
        <color indexed="55"/>
      </right>
      <top style="thin">
        <color indexed="55"/>
      </top>
      <bottom style="thin">
        <color indexed="23"/>
      </bottom>
      <diagonal/>
    </border>
    <border>
      <left style="thin">
        <color indexed="55"/>
      </left>
      <right style="medium">
        <color indexed="55"/>
      </right>
      <top style="thin">
        <color indexed="55"/>
      </top>
      <bottom style="thin">
        <color indexed="23"/>
      </bottom>
      <diagonal/>
    </border>
    <border>
      <left style="thin">
        <color indexed="55"/>
      </left>
      <right style="thin">
        <color indexed="55"/>
      </right>
      <top style="thin">
        <color indexed="55"/>
      </top>
      <bottom style="thick">
        <color indexed="23"/>
      </bottom>
      <diagonal/>
    </border>
    <border>
      <left style="thin">
        <color indexed="55"/>
      </left>
      <right style="medium">
        <color indexed="55"/>
      </right>
      <top style="thin">
        <color indexed="55"/>
      </top>
      <bottom style="thick">
        <color indexed="23"/>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top/>
      <bottom style="thin">
        <color indexed="64"/>
      </bottom>
      <diagonal/>
    </border>
    <border>
      <left style="thin">
        <color indexed="23"/>
      </left>
      <right style="thick">
        <color indexed="23"/>
      </right>
      <top style="thin">
        <color indexed="55"/>
      </top>
      <bottom style="thin">
        <color indexed="23"/>
      </bottom>
      <diagonal/>
    </border>
    <border>
      <left style="thin">
        <color indexed="23"/>
      </left>
      <right style="thick">
        <color indexed="23"/>
      </right>
      <top style="thin">
        <color indexed="55"/>
      </top>
      <bottom style="thick">
        <color indexed="23"/>
      </bottom>
      <diagonal/>
    </border>
    <border>
      <left style="thick">
        <color indexed="23"/>
      </left>
      <right style="thin">
        <color indexed="23"/>
      </right>
      <top style="thin">
        <color indexed="55"/>
      </top>
      <bottom style="thin">
        <color indexed="23"/>
      </bottom>
      <diagonal/>
    </border>
    <border>
      <left style="thick">
        <color indexed="23"/>
      </left>
      <right style="thin">
        <color indexed="23"/>
      </right>
      <top style="thin">
        <color indexed="55"/>
      </top>
      <bottom style="thick">
        <color indexed="23"/>
      </bottom>
      <diagonal/>
    </border>
    <border>
      <left/>
      <right style="thin">
        <color indexed="55"/>
      </right>
      <top style="thin">
        <color indexed="55"/>
      </top>
      <bottom style="thick">
        <color indexed="23"/>
      </bottom>
      <diagonal/>
    </border>
    <border>
      <left style="thin">
        <color indexed="64"/>
      </left>
      <right style="thin">
        <color indexed="64"/>
      </right>
      <top style="thin">
        <color indexed="64"/>
      </top>
      <bottom style="thin">
        <color indexed="64"/>
      </bottom>
      <diagonal/>
    </border>
    <border>
      <left style="medium">
        <color indexed="23"/>
      </left>
      <right style="thin">
        <color indexed="23"/>
      </right>
      <top style="thin">
        <color indexed="23"/>
      </top>
      <bottom style="thin">
        <color indexed="23"/>
      </bottom>
      <diagonal/>
    </border>
    <border>
      <left style="medium">
        <color indexed="23"/>
      </left>
      <right style="thin">
        <color indexed="23"/>
      </right>
      <top style="thin">
        <color indexed="23"/>
      </top>
      <bottom style="thin">
        <color indexed="55"/>
      </bottom>
      <diagonal/>
    </border>
    <border>
      <left style="thin">
        <color indexed="23"/>
      </left>
      <right style="thick">
        <color indexed="23"/>
      </right>
      <top style="thin">
        <color indexed="23"/>
      </top>
      <bottom style="thin">
        <color indexed="55"/>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diagonal/>
    </border>
  </borders>
  <cellStyleXfs count="6755">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26" fillId="22" borderId="0">
      <alignment horizontal="left"/>
    </xf>
    <xf numFmtId="0" fontId="27" fillId="22" borderId="0">
      <alignment horizontal="right"/>
    </xf>
    <xf numFmtId="0" fontId="7" fillId="23" borderId="0">
      <alignment horizontal="center"/>
    </xf>
    <xf numFmtId="0" fontId="27" fillId="22" borderId="0">
      <alignment horizontal="right"/>
    </xf>
    <xf numFmtId="0" fontId="28" fillId="23" borderId="0">
      <alignment horizontal="left"/>
    </xf>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6" fillId="22" borderId="0">
      <alignment horizontal="left"/>
    </xf>
    <xf numFmtId="0" fontId="29" fillId="23" borderId="0">
      <alignment horizontal="left"/>
    </xf>
    <xf numFmtId="0" fontId="20" fillId="0" borderId="6" applyNumberFormat="0" applyFill="0" applyAlignment="0" applyProtection="0"/>
    <xf numFmtId="0" fontId="21" fillId="24" borderId="0" applyNumberFormat="0" applyBorder="0" applyAlignment="0" applyProtection="0"/>
    <xf numFmtId="0" fontId="30" fillId="0" borderId="0"/>
    <xf numFmtId="0" fontId="39" fillId="0" borderId="0"/>
    <xf numFmtId="0" fontId="9" fillId="25" borderId="7" applyNumberFormat="0" applyFont="0" applyAlignment="0" applyProtection="0"/>
    <xf numFmtId="0" fontId="22" fillId="20" borderId="8" applyNumberFormat="0" applyAlignment="0" applyProtection="0"/>
    <xf numFmtId="164" fontId="31" fillId="23" borderId="0">
      <alignment horizontal="right"/>
    </xf>
    <xf numFmtId="0" fontId="32" fillId="26" borderId="0">
      <alignment horizontal="center"/>
    </xf>
    <xf numFmtId="0" fontId="26" fillId="27" borderId="0"/>
    <xf numFmtId="0" fontId="33" fillId="23" borderId="0" applyBorder="0">
      <alignment horizontal="centerContinuous"/>
    </xf>
    <xf numFmtId="0" fontId="34" fillId="27" borderId="0" applyBorder="0">
      <alignment horizontal="centerContinuous"/>
    </xf>
    <xf numFmtId="0" fontId="29" fillId="24" borderId="0">
      <alignment horizontal="center"/>
    </xf>
    <xf numFmtId="49" fontId="6" fillId="23" borderId="0">
      <alignment horizontal="center"/>
    </xf>
    <xf numFmtId="0" fontId="27" fillId="22" borderId="0">
      <alignment horizontal="center"/>
    </xf>
    <xf numFmtId="0" fontId="27" fillId="22" borderId="0">
      <alignment horizontal="centerContinuous"/>
    </xf>
    <xf numFmtId="0" fontId="8" fillId="23" borderId="0">
      <alignment horizontal="left"/>
    </xf>
    <xf numFmtId="49" fontId="8" fillId="23" borderId="0">
      <alignment horizontal="center"/>
    </xf>
    <xf numFmtId="0" fontId="26" fillId="22" borderId="0">
      <alignment horizontal="left"/>
    </xf>
    <xf numFmtId="49" fontId="8" fillId="23" borderId="0">
      <alignment horizontal="left"/>
    </xf>
    <xf numFmtId="0" fontId="26" fillId="22" borderId="0">
      <alignment horizontal="centerContinuous"/>
    </xf>
    <xf numFmtId="0" fontId="26" fillId="22" borderId="0">
      <alignment horizontal="right"/>
    </xf>
    <xf numFmtId="49" fontId="29" fillId="23" borderId="0">
      <alignment horizontal="left"/>
    </xf>
    <xf numFmtId="0" fontId="27" fillId="22" borderId="0">
      <alignment horizontal="right"/>
    </xf>
    <xf numFmtId="0" fontId="8" fillId="7" borderId="0">
      <alignment horizontal="center"/>
    </xf>
    <xf numFmtId="0" fontId="35" fillId="7" borderId="0">
      <alignment horizontal="center"/>
    </xf>
    <xf numFmtId="0" fontId="40" fillId="0" borderId="0" applyNumberFormat="0" applyBorder="0" applyAlignment="0"/>
    <xf numFmtId="0" fontId="23" fillId="0" borderId="0" applyNumberFormat="0" applyFill="0" applyBorder="0" applyAlignment="0" applyProtection="0"/>
    <xf numFmtId="0" fontId="24" fillId="0" borderId="9" applyNumberFormat="0" applyFill="0" applyAlignment="0" applyProtection="0"/>
    <xf numFmtId="0" fontId="36" fillId="23" borderId="0">
      <alignment horizontal="center"/>
    </xf>
    <xf numFmtId="0" fontId="25" fillId="0" borderId="0" applyNumberFormat="0" applyFill="0" applyBorder="0" applyAlignment="0" applyProtection="0"/>
    <xf numFmtId="0" fontId="44" fillId="0" borderId="0"/>
    <xf numFmtId="43" fontId="44" fillId="0" borderId="0" applyFont="0" applyFill="0" applyBorder="0" applyAlignment="0" applyProtection="0"/>
    <xf numFmtId="44" fontId="44" fillId="0" borderId="0" applyFont="0" applyFill="0" applyBorder="0" applyAlignment="0" applyProtection="0"/>
    <xf numFmtId="0" fontId="30" fillId="0" borderId="0"/>
    <xf numFmtId="166" fontId="26" fillId="30" borderId="0">
      <alignment vertical="center"/>
    </xf>
    <xf numFmtId="0" fontId="43" fillId="0" borderId="0">
      <alignment vertical="center"/>
    </xf>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45" fillId="30" borderId="0">
      <alignment horizontal="center" vertical="center"/>
    </xf>
    <xf numFmtId="0" fontId="30" fillId="0" borderId="0"/>
    <xf numFmtId="0" fontId="30" fillId="0" borderId="0"/>
    <xf numFmtId="0" fontId="46" fillId="0" borderId="0"/>
    <xf numFmtId="0" fontId="30" fillId="0" borderId="0"/>
    <xf numFmtId="0" fontId="30" fillId="0" borderId="0"/>
    <xf numFmtId="0" fontId="30" fillId="0" borderId="0"/>
    <xf numFmtId="9" fontId="30" fillId="0" borderId="0" applyFont="0" applyFill="0" applyBorder="0" applyAlignment="0" applyProtection="0"/>
    <xf numFmtId="9" fontId="30" fillId="0" borderId="0" applyFont="0" applyFill="0" applyBorder="0" applyAlignment="0" applyProtection="0"/>
    <xf numFmtId="0" fontId="45" fillId="30" borderId="0"/>
    <xf numFmtId="41" fontId="46" fillId="0" borderId="0">
      <alignment horizontal="right" vertical="center"/>
    </xf>
    <xf numFmtId="166" fontId="46" fillId="0" borderId="0">
      <alignment horizontal="left" vertical="center" indent="1"/>
    </xf>
    <xf numFmtId="43" fontId="47" fillId="0" borderId="0" applyFont="0" applyFill="0" applyBorder="0" applyAlignment="0" applyProtection="0"/>
    <xf numFmtId="0" fontId="48" fillId="0" borderId="0"/>
    <xf numFmtId="0" fontId="39" fillId="0" borderId="0"/>
    <xf numFmtId="9" fontId="48" fillId="0" borderId="0" applyFont="0" applyFill="0" applyBorder="0" applyAlignment="0" applyProtection="0"/>
    <xf numFmtId="9" fontId="3" fillId="0" borderId="0" applyFont="0" applyFill="0" applyBorder="0" applyAlignment="0" applyProtection="0"/>
    <xf numFmtId="0" fontId="9" fillId="2" borderId="0" applyNumberFormat="0" applyBorder="0" applyAlignment="0" applyProtection="0"/>
    <xf numFmtId="0" fontId="9" fillId="32" borderId="0" applyNumberFormat="0" applyBorder="0" applyAlignment="0" applyProtection="0"/>
    <xf numFmtId="0" fontId="9" fillId="3" borderId="0" applyNumberFormat="0" applyBorder="0" applyAlignment="0" applyProtection="0"/>
    <xf numFmtId="0" fontId="9" fillId="33" borderId="0" applyNumberFormat="0" applyBorder="0" applyAlignment="0" applyProtection="0"/>
    <xf numFmtId="0" fontId="9" fillId="4" borderId="0" applyNumberFormat="0" applyBorder="0" applyAlignment="0" applyProtection="0"/>
    <xf numFmtId="0" fontId="9" fillId="34" borderId="0" applyNumberFormat="0" applyBorder="0" applyAlignment="0" applyProtection="0"/>
    <xf numFmtId="0" fontId="9" fillId="5" borderId="0" applyNumberFormat="0" applyBorder="0" applyAlignment="0" applyProtection="0"/>
    <xf numFmtId="0" fontId="9" fillId="35" borderId="0" applyNumberFormat="0" applyBorder="0" applyAlignment="0" applyProtection="0"/>
    <xf numFmtId="0" fontId="9" fillId="6" borderId="0" applyNumberFormat="0" applyBorder="0" applyAlignment="0" applyProtection="0"/>
    <xf numFmtId="0" fontId="9" fillId="36" borderId="0" applyNumberFormat="0" applyBorder="0" applyAlignment="0" applyProtection="0"/>
    <xf numFmtId="0" fontId="9" fillId="7" borderId="0" applyNumberFormat="0" applyBorder="0" applyAlignment="0" applyProtection="0"/>
    <xf numFmtId="0" fontId="9" fillId="37" borderId="0" applyNumberFormat="0" applyBorder="0" applyAlignment="0" applyProtection="0"/>
    <xf numFmtId="0" fontId="49" fillId="2" borderId="0" applyNumberFormat="0" applyBorder="0" applyAlignment="0" applyProtection="0"/>
    <xf numFmtId="0" fontId="49" fillId="3" borderId="0" applyNumberFormat="0" applyBorder="0" applyAlignment="0" applyProtection="0"/>
    <xf numFmtId="0" fontId="49" fillId="4"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9" fillId="8" borderId="0" applyNumberFormat="0" applyBorder="0" applyAlignment="0" applyProtection="0"/>
    <xf numFmtId="0" fontId="9" fillId="38" borderId="0" applyNumberFormat="0" applyBorder="0" applyAlignment="0" applyProtection="0"/>
    <xf numFmtId="0" fontId="9" fillId="9" borderId="0" applyNumberFormat="0" applyBorder="0" applyAlignment="0" applyProtection="0"/>
    <xf numFmtId="0" fontId="9" fillId="39" borderId="0" applyNumberFormat="0" applyBorder="0" applyAlignment="0" applyProtection="0"/>
    <xf numFmtId="0" fontId="9" fillId="10" borderId="0" applyNumberFormat="0" applyBorder="0" applyAlignment="0" applyProtection="0"/>
    <xf numFmtId="0" fontId="9" fillId="40" borderId="0" applyNumberFormat="0" applyBorder="0" applyAlignment="0" applyProtection="0"/>
    <xf numFmtId="0" fontId="9" fillId="5" borderId="0" applyNumberFormat="0" applyBorder="0" applyAlignment="0" applyProtection="0"/>
    <xf numFmtId="0" fontId="9" fillId="35" borderId="0" applyNumberFormat="0" applyBorder="0" applyAlignment="0" applyProtection="0"/>
    <xf numFmtId="0" fontId="9" fillId="8" borderId="0" applyNumberFormat="0" applyBorder="0" applyAlignment="0" applyProtection="0"/>
    <xf numFmtId="0" fontId="9" fillId="38" borderId="0" applyNumberFormat="0" applyBorder="0" applyAlignment="0" applyProtection="0"/>
    <xf numFmtId="0" fontId="9" fillId="11" borderId="0" applyNumberFormat="0" applyBorder="0" applyAlignment="0" applyProtection="0"/>
    <xf numFmtId="0" fontId="9" fillId="41"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10" borderId="0" applyNumberFormat="0" applyBorder="0" applyAlignment="0" applyProtection="0"/>
    <xf numFmtId="0" fontId="49" fillId="5" borderId="0" applyNumberFormat="0" applyBorder="0" applyAlignment="0" applyProtection="0"/>
    <xf numFmtId="0" fontId="49" fillId="8" borderId="0" applyNumberFormat="0" applyBorder="0" applyAlignment="0" applyProtection="0"/>
    <xf numFmtId="0" fontId="49" fillId="11" borderId="0" applyNumberFormat="0" applyBorder="0" applyAlignment="0" applyProtection="0"/>
    <xf numFmtId="0" fontId="10" fillId="12" borderId="0" applyNumberFormat="0" applyBorder="0" applyAlignment="0" applyProtection="0"/>
    <xf numFmtId="0" fontId="10" fillId="42" borderId="0" applyNumberFormat="0" applyBorder="0" applyAlignment="0" applyProtection="0"/>
    <xf numFmtId="0" fontId="10" fillId="9" borderId="0" applyNumberFormat="0" applyBorder="0" applyAlignment="0" applyProtection="0"/>
    <xf numFmtId="0" fontId="10" fillId="39" borderId="0" applyNumberFormat="0" applyBorder="0" applyAlignment="0" applyProtection="0"/>
    <xf numFmtId="0" fontId="10" fillId="10" borderId="0" applyNumberFormat="0" applyBorder="0" applyAlignment="0" applyProtection="0"/>
    <xf numFmtId="0" fontId="10" fillId="40" borderId="0" applyNumberFormat="0" applyBorder="0" applyAlignment="0" applyProtection="0"/>
    <xf numFmtId="0" fontId="10" fillId="13" borderId="0" applyNumberFormat="0" applyBorder="0" applyAlignment="0" applyProtection="0"/>
    <xf numFmtId="0" fontId="10" fillId="43" borderId="0" applyNumberFormat="0" applyBorder="0" applyAlignment="0" applyProtection="0"/>
    <xf numFmtId="0" fontId="10" fillId="14" borderId="0" applyNumberFormat="0" applyBorder="0" applyAlignment="0" applyProtection="0"/>
    <xf numFmtId="0" fontId="10" fillId="44" borderId="0" applyNumberFormat="0" applyBorder="0" applyAlignment="0" applyProtection="0"/>
    <xf numFmtId="0" fontId="10" fillId="15" borderId="0" applyNumberFormat="0" applyBorder="0" applyAlignment="0" applyProtection="0"/>
    <xf numFmtId="0" fontId="10" fillId="45" borderId="0" applyNumberFormat="0" applyBorder="0" applyAlignment="0" applyProtection="0"/>
    <xf numFmtId="0" fontId="50" fillId="12" borderId="0" applyNumberFormat="0" applyBorder="0" applyAlignment="0" applyProtection="0"/>
    <xf numFmtId="0" fontId="50" fillId="9" borderId="0" applyNumberFormat="0" applyBorder="0" applyAlignment="0" applyProtection="0"/>
    <xf numFmtId="0" fontId="50" fillId="10"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5" borderId="0" applyNumberFormat="0" applyBorder="0" applyAlignment="0" applyProtection="0"/>
    <xf numFmtId="0" fontId="10" fillId="16" borderId="0" applyNumberFormat="0" applyBorder="0" applyAlignment="0" applyProtection="0"/>
    <xf numFmtId="0" fontId="10" fillId="46" borderId="0" applyNumberFormat="0" applyBorder="0" applyAlignment="0" applyProtection="0"/>
    <xf numFmtId="0" fontId="10" fillId="17" borderId="0" applyNumberFormat="0" applyBorder="0" applyAlignment="0" applyProtection="0"/>
    <xf numFmtId="0" fontId="10" fillId="47" borderId="0" applyNumberFormat="0" applyBorder="0" applyAlignment="0" applyProtection="0"/>
    <xf numFmtId="0" fontId="10" fillId="18" borderId="0" applyNumberFormat="0" applyBorder="0" applyAlignment="0" applyProtection="0"/>
    <xf numFmtId="0" fontId="10" fillId="48" borderId="0" applyNumberFormat="0" applyBorder="0" applyAlignment="0" applyProtection="0"/>
    <xf numFmtId="0" fontId="10" fillId="13" borderId="0" applyNumberFormat="0" applyBorder="0" applyAlignment="0" applyProtection="0"/>
    <xf numFmtId="0" fontId="10" fillId="43" borderId="0" applyNumberFormat="0" applyBorder="0" applyAlignment="0" applyProtection="0"/>
    <xf numFmtId="0" fontId="10" fillId="14" borderId="0" applyNumberFormat="0" applyBorder="0" applyAlignment="0" applyProtection="0"/>
    <xf numFmtId="0" fontId="10" fillId="44" borderId="0" applyNumberFormat="0" applyBorder="0" applyAlignment="0" applyProtection="0"/>
    <xf numFmtId="0" fontId="10" fillId="19" borderId="0" applyNumberFormat="0" applyBorder="0" applyAlignment="0" applyProtection="0"/>
    <xf numFmtId="0" fontId="10" fillId="49" borderId="0" applyNumberFormat="0" applyBorder="0" applyAlignment="0" applyProtection="0"/>
    <xf numFmtId="0" fontId="50" fillId="16" borderId="0" applyNumberFormat="0" applyBorder="0" applyAlignment="0" applyProtection="0"/>
    <xf numFmtId="0" fontId="50" fillId="17" borderId="0" applyNumberFormat="0" applyBorder="0" applyAlignment="0" applyProtection="0"/>
    <xf numFmtId="0" fontId="50" fillId="18" borderId="0" applyNumberFormat="0" applyBorder="0" applyAlignment="0" applyProtection="0"/>
    <xf numFmtId="0" fontId="50" fillId="13" borderId="0" applyNumberFormat="0" applyBorder="0" applyAlignment="0" applyProtection="0"/>
    <xf numFmtId="0" fontId="50" fillId="14" borderId="0" applyNumberFormat="0" applyBorder="0" applyAlignment="0" applyProtection="0"/>
    <xf numFmtId="0" fontId="50" fillId="19" borderId="0" applyNumberFormat="0" applyBorder="0" applyAlignment="0" applyProtection="0"/>
    <xf numFmtId="0" fontId="11" fillId="3" borderId="0" applyNumberFormat="0" applyBorder="0" applyAlignment="0" applyProtection="0"/>
    <xf numFmtId="0" fontId="11" fillId="3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5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51"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1" fillId="7" borderId="1"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0" fontId="52" fillId="20" borderId="8" applyNumberFormat="0" applyAlignment="0" applyProtection="0"/>
    <xf numFmtId="168" fontId="4" fillId="0" borderId="0" applyFont="0" applyFill="0" applyBorder="0" applyAlignment="0" applyProtection="0"/>
    <xf numFmtId="0" fontId="53" fillId="4" borderId="0" applyNumberFormat="0" applyBorder="0" applyAlignment="0" applyProtection="0"/>
    <xf numFmtId="0" fontId="14" fillId="0" borderId="0" applyNumberFormat="0" applyFill="0" applyBorder="0" applyAlignment="0" applyProtection="0"/>
    <xf numFmtId="169" fontId="4" fillId="0" borderId="0" applyFont="0" applyFill="0" applyBorder="0" applyAlignment="0" applyProtection="0"/>
    <xf numFmtId="0" fontId="15" fillId="4" borderId="0" applyNumberFormat="0" applyBorder="0" applyAlignment="0" applyProtection="0"/>
    <xf numFmtId="0" fontId="15" fillId="3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3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57" fillId="0" borderId="6" applyNumberFormat="0" applyFill="0" applyAlignment="0" applyProtection="0"/>
    <xf numFmtId="0" fontId="58" fillId="21" borderId="2" applyNumberFormat="0" applyAlignment="0" applyProtection="0"/>
    <xf numFmtId="0" fontId="20" fillId="0" borderId="6"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21" fillId="24" borderId="0" applyNumberFormat="0" applyBorder="0" applyAlignment="0" applyProtection="0"/>
    <xf numFmtId="0" fontId="21" fillId="52" borderId="0" applyNumberFormat="0" applyBorder="0" applyAlignment="0" applyProtection="0"/>
    <xf numFmtId="0" fontId="62" fillId="24" borderId="0" applyNumberFormat="0" applyBorder="0" applyAlignment="0" applyProtection="0"/>
    <xf numFmtId="0" fontId="4" fillId="0" borderId="0"/>
    <xf numFmtId="0" fontId="48" fillId="0" borderId="0"/>
    <xf numFmtId="0" fontId="4" fillId="0" borderId="0"/>
    <xf numFmtId="0" fontId="4" fillId="0" borderId="0"/>
    <xf numFmtId="0" fontId="4" fillId="0" borderId="0"/>
    <xf numFmtId="0" fontId="3" fillId="0" borderId="0"/>
    <xf numFmtId="0" fontId="39" fillId="0" borderId="0"/>
    <xf numFmtId="0" fontId="3" fillId="0" borderId="0"/>
    <xf numFmtId="0" fontId="4" fillId="0" borderId="0"/>
    <xf numFmtId="0" fontId="46" fillId="0" borderId="0"/>
    <xf numFmtId="0" fontId="3" fillId="0" borderId="0"/>
    <xf numFmtId="0" fontId="3" fillId="0" borderId="0"/>
    <xf numFmtId="0" fontId="4" fillId="0" borderId="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4" fillId="53" borderId="7" applyNumberForma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9" fillId="25" borderId="7" applyNumberFormat="0" applyFon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63" fillId="20" borderId="1"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5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0" fontId="22" fillId="20" borderId="8" applyNumberFormat="0" applyAlignment="0" applyProtection="0"/>
    <xf numFmtId="9" fontId="9" fillId="0" borderId="0" applyFont="0" applyFill="0" applyBorder="0" applyAlignment="0" applyProtection="0"/>
    <xf numFmtId="0" fontId="32" fillId="0" borderId="0" applyNumberFormat="0" applyBorder="0" applyAlignment="0"/>
    <xf numFmtId="0" fontId="32" fillId="0" borderId="0" applyNumberFormat="0" applyBorder="0" applyAlignment="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0" applyNumberFormat="0" applyFill="0" applyBorder="0" applyAlignment="0" applyProtection="0"/>
    <xf numFmtId="0" fontId="66" fillId="0" borderId="0" applyNumberFormat="0" applyFill="0" applyBorder="0" applyAlignment="0" applyProtection="0"/>
    <xf numFmtId="49" fontId="4"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67" fillId="0" borderId="0" applyNumberFormat="0" applyFill="0" applyBorder="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4" fillId="25" borderId="7" applyNumberFormat="0" applyFont="0" applyAlignment="0" applyProtection="0"/>
    <xf numFmtId="0" fontId="25" fillId="0" borderId="0" applyNumberFormat="0" applyFill="0" applyBorder="0" applyAlignment="0" applyProtection="0"/>
    <xf numFmtId="0" fontId="68" fillId="3" borderId="0" applyNumberFormat="0" applyBorder="0" applyAlignment="0" applyProtection="0"/>
    <xf numFmtId="0" fontId="69" fillId="0" borderId="0"/>
    <xf numFmtId="43" fontId="69" fillId="0" borderId="0" applyFont="0" applyFill="0" applyBorder="0" applyAlignment="0" applyProtection="0"/>
    <xf numFmtId="9" fontId="69" fillId="0" borderId="0" applyFont="0" applyFill="0" applyBorder="0" applyAlignment="0" applyProtection="0"/>
    <xf numFmtId="0" fontId="48" fillId="0" borderId="0"/>
    <xf numFmtId="0" fontId="4" fillId="0" borderId="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170" fontId="4" fillId="0" borderId="0" applyFill="0" applyBorder="0" applyAlignment="0" applyProtection="0"/>
    <xf numFmtId="0" fontId="71" fillId="0" borderId="0" applyNumberFormat="0" applyFill="0" applyBorder="0" applyAlignment="0" applyProtection="0"/>
    <xf numFmtId="0" fontId="79" fillId="0" borderId="0" applyNumberFormat="0" applyFill="0" applyBorder="0" applyAlignment="0" applyProtection="0">
      <alignment vertical="top"/>
      <protection locked="0"/>
    </xf>
    <xf numFmtId="43" fontId="78" fillId="0" borderId="0" applyFont="0" applyFill="0" applyBorder="0" applyAlignment="0" applyProtection="0"/>
    <xf numFmtId="0" fontId="48" fillId="0" borderId="0"/>
    <xf numFmtId="9" fontId="48" fillId="0" borderId="0" applyFont="0" applyFill="0" applyBorder="0" applyAlignment="0" applyProtection="0"/>
    <xf numFmtId="0" fontId="31" fillId="0" borderId="0" applyNumberFormat="0" applyBorder="0" applyAlignment="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20" borderId="215" applyNumberFormat="0" applyAlignment="0" applyProtection="0"/>
    <xf numFmtId="0" fontId="12" fillId="20" borderId="199"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9" fillId="7" borderId="199" applyNumberFormat="0" applyAlignment="0" applyProtection="0"/>
    <xf numFmtId="0" fontId="9" fillId="25" borderId="200" applyNumberFormat="0" applyFont="0" applyAlignment="0" applyProtection="0"/>
    <xf numFmtId="0" fontId="22" fillId="20" borderId="201" applyNumberFormat="0" applyAlignment="0" applyProtection="0"/>
    <xf numFmtId="0" fontId="24" fillId="0" borderId="202" applyNumberFormat="0" applyFill="0" applyAlignment="0" applyProtection="0"/>
    <xf numFmtId="43" fontId="39" fillId="0" borderId="0" applyFont="0" applyFill="0" applyBorder="0" applyAlignment="0" applyProtection="0"/>
    <xf numFmtId="44" fontId="39" fillId="0" borderId="0" applyFont="0" applyFill="0" applyBorder="0" applyAlignment="0" applyProtection="0"/>
    <xf numFmtId="0" fontId="4" fillId="0" borderId="0"/>
    <xf numFmtId="0" fontId="12" fillId="20" borderId="215" applyNumberFormat="0" applyAlignment="0" applyProtection="0"/>
    <xf numFmtId="0" fontId="12" fillId="20" borderId="21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2" fillId="20" borderId="215" applyNumberFormat="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5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5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199"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1" fillId="7" borderId="199"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52" fillId="20" borderId="201"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3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19" fillId="7" borderId="199" applyNumberForma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4" fillId="53" borderId="200" applyNumberForma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9" fillId="25" borderId="200" applyNumberFormat="0" applyFon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63" fillId="20" borderId="199"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5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2" fillId="20" borderId="201" applyNumberFormat="0" applyAlignment="0" applyProtection="0"/>
    <xf numFmtId="0" fontId="24" fillId="0" borderId="218"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6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24" fillId="0" borderId="202" applyNumberFormat="0" applyFill="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4" fillId="25" borderId="200" applyNumberFormat="0" applyFon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2" fillId="20" borderId="217" applyNumberFormat="0" applyAlignment="0" applyProtection="0"/>
    <xf numFmtId="0" fontId="9" fillId="25" borderId="216" applyNumberFormat="0" applyFont="0" applyAlignment="0" applyProtection="0"/>
    <xf numFmtId="0" fontId="19" fillId="7"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4" fillId="0" borderId="0" applyNumberFormat="0" applyFill="0" applyBorder="0" applyAlignment="0" applyProtection="0">
      <alignment vertical="top"/>
      <protection locked="0"/>
    </xf>
    <xf numFmtId="43" fontId="4" fillId="0" borderId="0" applyFont="0" applyFill="0" applyBorder="0" applyAlignment="0" applyProtection="0"/>
    <xf numFmtId="0" fontId="109" fillId="0" borderId="0"/>
    <xf numFmtId="0" fontId="12" fillId="20" borderId="215" applyNumberFormat="0" applyAlignment="0" applyProtection="0"/>
    <xf numFmtId="0" fontId="110" fillId="0" borderId="0"/>
    <xf numFmtId="43" fontId="110" fillId="0" borderId="0" applyFont="0" applyFill="0" applyBorder="0" applyAlignment="0" applyProtection="0"/>
    <xf numFmtId="41" fontId="110" fillId="0" borderId="0" applyFont="0" applyFill="0" applyBorder="0" applyAlignment="0" applyProtection="0"/>
    <xf numFmtId="44" fontId="110" fillId="0" borderId="0" applyFont="0" applyFill="0" applyBorder="0" applyAlignment="0" applyProtection="0"/>
    <xf numFmtId="42" fontId="110" fillId="0" borderId="0" applyFont="0" applyFill="0" applyBorder="0" applyAlignment="0" applyProtection="0"/>
    <xf numFmtId="9" fontId="110" fillId="0" borderId="0" applyFont="0" applyFill="0" applyBorder="0" applyAlignment="0" applyProtection="0"/>
    <xf numFmtId="0" fontId="123" fillId="0" borderId="0" applyNumberFormat="0" applyFill="0" applyBorder="0" applyAlignment="0" applyProtection="0"/>
    <xf numFmtId="0" fontId="117" fillId="0" borderId="206" applyNumberFormat="0" applyFill="0" applyAlignment="0" applyProtection="0"/>
    <xf numFmtId="0" fontId="117" fillId="0" borderId="207" applyNumberFormat="0" applyFill="0" applyAlignment="0" applyProtection="0"/>
    <xf numFmtId="0" fontId="117" fillId="0" borderId="208" applyNumberFormat="0" applyFill="0" applyAlignment="0" applyProtection="0"/>
    <xf numFmtId="0" fontId="117" fillId="0" borderId="0" applyNumberFormat="0" applyFill="0" applyBorder="0" applyAlignment="0" applyProtection="0"/>
    <xf numFmtId="0" fontId="116" fillId="63" borderId="0" applyNumberFormat="0" applyBorder="0" applyAlignment="0" applyProtection="0"/>
    <xf numFmtId="0" fontId="112" fillId="64" borderId="0" applyNumberFormat="0" applyBorder="0" applyAlignment="0" applyProtection="0"/>
    <xf numFmtId="0" fontId="120" fillId="65" borderId="0" applyNumberFormat="0" applyBorder="0" applyAlignment="0" applyProtection="0"/>
    <xf numFmtId="0" fontId="118" fillId="66" borderId="209" applyNumberFormat="0" applyAlignment="0" applyProtection="0"/>
    <xf numFmtId="0" fontId="122" fillId="67" borderId="210" applyNumberFormat="0" applyAlignment="0" applyProtection="0"/>
    <xf numFmtId="0" fontId="113" fillId="67" borderId="209" applyNumberFormat="0" applyAlignment="0" applyProtection="0"/>
    <xf numFmtId="0" fontId="119" fillId="0" borderId="211" applyNumberFormat="0" applyFill="0" applyAlignment="0" applyProtection="0"/>
    <xf numFmtId="0" fontId="114" fillId="68" borderId="212" applyNumberFormat="0" applyAlignment="0" applyProtection="0"/>
    <xf numFmtId="0" fontId="124" fillId="0" borderId="0" applyNumberFormat="0" applyFill="0" applyBorder="0" applyAlignment="0" applyProtection="0"/>
    <xf numFmtId="0" fontId="110" fillId="69" borderId="213" applyNumberFormat="0" applyFont="0" applyAlignment="0" applyProtection="0"/>
    <xf numFmtId="0" fontId="115" fillId="0" borderId="0" applyNumberFormat="0" applyFill="0" applyBorder="0" applyAlignment="0" applyProtection="0"/>
    <xf numFmtId="0" fontId="121" fillId="0" borderId="214" applyNumberFormat="0" applyFill="0" applyAlignment="0" applyProtection="0"/>
    <xf numFmtId="0" fontId="111" fillId="70" borderId="0" applyNumberFormat="0" applyBorder="0" applyAlignment="0" applyProtection="0"/>
    <xf numFmtId="0" fontId="110" fillId="71" borderId="0" applyNumberFormat="0" applyBorder="0" applyAlignment="0" applyProtection="0"/>
    <xf numFmtId="0" fontId="110" fillId="72" borderId="0" applyNumberFormat="0" applyBorder="0" applyAlignment="0" applyProtection="0"/>
    <xf numFmtId="0" fontId="111" fillId="73" borderId="0" applyNumberFormat="0" applyBorder="0" applyAlignment="0" applyProtection="0"/>
    <xf numFmtId="0" fontId="111" fillId="74" borderId="0" applyNumberFormat="0" applyBorder="0" applyAlignment="0" applyProtection="0"/>
    <xf numFmtId="0" fontId="110" fillId="75" borderId="0" applyNumberFormat="0" applyBorder="0" applyAlignment="0" applyProtection="0"/>
    <xf numFmtId="0" fontId="110" fillId="76" borderId="0" applyNumberFormat="0" applyBorder="0" applyAlignment="0" applyProtection="0"/>
    <xf numFmtId="0" fontId="111" fillId="77" borderId="0" applyNumberFormat="0" applyBorder="0" applyAlignment="0" applyProtection="0"/>
    <xf numFmtId="0" fontId="111" fillId="78" borderId="0" applyNumberFormat="0" applyBorder="0" applyAlignment="0" applyProtection="0"/>
    <xf numFmtId="0" fontId="110" fillId="79" borderId="0" applyNumberFormat="0" applyBorder="0" applyAlignment="0" applyProtection="0"/>
    <xf numFmtId="0" fontId="110" fillId="80" borderId="0" applyNumberFormat="0" applyBorder="0" applyAlignment="0" applyProtection="0"/>
    <xf numFmtId="0" fontId="111" fillId="81" borderId="0" applyNumberFormat="0" applyBorder="0" applyAlignment="0" applyProtection="0"/>
    <xf numFmtId="0" fontId="111" fillId="82" borderId="0" applyNumberFormat="0" applyBorder="0" applyAlignment="0" applyProtection="0"/>
    <xf numFmtId="0" fontId="110" fillId="83" borderId="0" applyNumberFormat="0" applyBorder="0" applyAlignment="0" applyProtection="0"/>
    <xf numFmtId="0" fontId="110" fillId="84" borderId="0" applyNumberFormat="0" applyBorder="0" applyAlignment="0" applyProtection="0"/>
    <xf numFmtId="0" fontId="111" fillId="85" borderId="0" applyNumberFormat="0" applyBorder="0" applyAlignment="0" applyProtection="0"/>
    <xf numFmtId="0" fontId="111" fillId="86" borderId="0" applyNumberFormat="0" applyBorder="0" applyAlignment="0" applyProtection="0"/>
    <xf numFmtId="0" fontId="110" fillId="87" borderId="0" applyNumberFormat="0" applyBorder="0" applyAlignment="0" applyProtection="0"/>
    <xf numFmtId="0" fontId="110" fillId="88" borderId="0" applyNumberFormat="0" applyBorder="0" applyAlignment="0" applyProtection="0"/>
    <xf numFmtId="0" fontId="111" fillId="89" borderId="0" applyNumberFormat="0" applyBorder="0" applyAlignment="0" applyProtection="0"/>
    <xf numFmtId="0" fontId="111" fillId="90" borderId="0" applyNumberFormat="0" applyBorder="0" applyAlignment="0" applyProtection="0"/>
    <xf numFmtId="0" fontId="110" fillId="91" borderId="0" applyNumberFormat="0" applyBorder="0" applyAlignment="0" applyProtection="0"/>
    <xf numFmtId="0" fontId="110" fillId="92" borderId="0" applyNumberFormat="0" applyBorder="0" applyAlignment="0" applyProtection="0"/>
    <xf numFmtId="0" fontId="111" fillId="93" borderId="0" applyNumberFormat="0" applyBorder="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12" fillId="20"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1" fillId="7" borderId="215"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52" fillId="20" borderId="217"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3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19" fillId="7" borderId="215" applyNumberForma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4" fillId="53" borderId="216" applyNumberForma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9" fillId="25" borderId="216" applyNumberFormat="0" applyFon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63" fillId="20" borderId="215"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5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22" fillId="20" borderId="217" applyNumberFormat="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6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24" fillId="0" borderId="218" applyNumberFormat="0" applyFill="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0" fontId="4" fillId="25" borderId="216" applyNumberFormat="0" applyFont="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4" fillId="0" borderId="0" applyFont="0" applyFill="0" applyBorder="0" applyAlignment="0" applyProtection="0"/>
    <xf numFmtId="44" fontId="4" fillId="0" borderId="0" applyFont="0" applyFill="0" applyBorder="0" applyAlignment="0" applyProtection="0"/>
  </cellStyleXfs>
  <cellXfs count="1062">
    <xf numFmtId="0" fontId="0" fillId="0" borderId="0" xfId="0"/>
    <xf numFmtId="0" fontId="73" fillId="0" borderId="0" xfId="0" applyFont="1"/>
    <xf numFmtId="0" fontId="73" fillId="0" borderId="0" xfId="0" applyFont="1" applyAlignment="1">
      <alignment horizontal="left" indent="1"/>
    </xf>
    <xf numFmtId="0" fontId="73" fillId="0" borderId="0" xfId="0" applyFont="1" applyAlignment="1">
      <alignment horizontal="center"/>
    </xf>
    <xf numFmtId="0" fontId="73" fillId="0" borderId="0" xfId="0" applyFont="1" applyAlignment="1">
      <alignment wrapText="1"/>
    </xf>
    <xf numFmtId="0" fontId="73" fillId="0" borderId="58" xfId="0" applyFont="1" applyBorder="1" applyAlignment="1">
      <alignment horizontal="center"/>
    </xf>
    <xf numFmtId="0" fontId="73" fillId="0" borderId="53" xfId="0" applyFont="1" applyBorder="1" applyAlignment="1">
      <alignment horizontal="centerContinuous" wrapText="1"/>
    </xf>
    <xf numFmtId="0" fontId="73" fillId="0" borderId="54" xfId="0" applyFont="1" applyBorder="1" applyAlignment="1">
      <alignment horizontal="centerContinuous" wrapText="1"/>
    </xf>
    <xf numFmtId="0" fontId="75" fillId="0" borderId="60" xfId="0" applyFont="1" applyBorder="1" applyAlignment="1">
      <alignment horizontal="centerContinuous" wrapText="1"/>
    </xf>
    <xf numFmtId="0" fontId="77" fillId="56" borderId="60" xfId="0" applyFont="1" applyFill="1" applyBorder="1"/>
    <xf numFmtId="0" fontId="77" fillId="56" borderId="53" xfId="0" applyFont="1" applyFill="1" applyBorder="1"/>
    <xf numFmtId="0" fontId="75" fillId="56" borderId="53" xfId="0" applyFont="1" applyFill="1" applyBorder="1"/>
    <xf numFmtId="0" fontId="75" fillId="56" borderId="54" xfId="0" applyFont="1" applyFill="1" applyBorder="1" applyAlignment="1">
      <alignment horizontal="right"/>
    </xf>
    <xf numFmtId="0" fontId="73" fillId="0" borderId="0" xfId="0" applyFont="1" applyAlignment="1">
      <alignment horizontal="left"/>
    </xf>
    <xf numFmtId="0" fontId="75" fillId="56" borderId="62" xfId="0" applyFont="1" applyFill="1" applyBorder="1"/>
    <xf numFmtId="0" fontId="73" fillId="0" borderId="62" xfId="0" applyFont="1" applyBorder="1"/>
    <xf numFmtId="0" fontId="73" fillId="0" borderId="64" xfId="0" applyFont="1" applyBorder="1"/>
    <xf numFmtId="0" fontId="73" fillId="0" borderId="63" xfId="0" applyFont="1" applyBorder="1"/>
    <xf numFmtId="0" fontId="73" fillId="0" borderId="65" xfId="0" applyFont="1" applyBorder="1"/>
    <xf numFmtId="0" fontId="75" fillId="56" borderId="63" xfId="0" applyFont="1" applyFill="1" applyBorder="1" applyAlignment="1">
      <alignment horizontal="right"/>
    </xf>
    <xf numFmtId="0" fontId="74" fillId="0" borderId="0" xfId="0" applyFont="1"/>
    <xf numFmtId="0" fontId="73" fillId="28" borderId="0" xfId="2447" applyFont="1" applyFill="1" applyAlignment="1" applyProtection="1">
      <alignment vertical="top"/>
      <protection hidden="1"/>
    </xf>
    <xf numFmtId="0" fontId="73" fillId="28" borderId="0" xfId="2447" applyFont="1" applyFill="1" applyAlignment="1" applyProtection="1">
      <alignment vertical="top" wrapText="1"/>
      <protection hidden="1"/>
    </xf>
    <xf numFmtId="0" fontId="75" fillId="28" borderId="0" xfId="2447" applyFont="1" applyFill="1" applyAlignment="1" applyProtection="1">
      <alignment horizontal="left" vertical="top" wrapText="1"/>
      <protection hidden="1"/>
    </xf>
    <xf numFmtId="0" fontId="75" fillId="28" borderId="0" xfId="2447" applyFont="1" applyFill="1" applyAlignment="1" applyProtection="1">
      <alignment vertical="top"/>
      <protection hidden="1"/>
    </xf>
    <xf numFmtId="0" fontId="0" fillId="55" borderId="0" xfId="0" applyFill="1"/>
    <xf numFmtId="0" fontId="75" fillId="0" borderId="0" xfId="0" applyFont="1"/>
    <xf numFmtId="0" fontId="85" fillId="0" borderId="0" xfId="0" applyFont="1"/>
    <xf numFmtId="0" fontId="86" fillId="0" borderId="0" xfId="0" applyFont="1"/>
    <xf numFmtId="0" fontId="87" fillId="0" borderId="0" xfId="0" applyFont="1"/>
    <xf numFmtId="0" fontId="75" fillId="0" borderId="0" xfId="0" applyFont="1" applyAlignment="1">
      <alignment horizontal="center" wrapText="1"/>
    </xf>
    <xf numFmtId="0" fontId="73" fillId="0" borderId="0" xfId="0" applyFont="1" applyAlignment="1">
      <alignment horizontal="center" wrapText="1"/>
    </xf>
    <xf numFmtId="0" fontId="0" fillId="0" borderId="0" xfId="0" applyAlignment="1">
      <alignment horizontal="center"/>
    </xf>
    <xf numFmtId="0" fontId="73" fillId="0" borderId="0" xfId="0" applyFont="1" applyAlignment="1">
      <alignment horizontal="left" vertical="center"/>
    </xf>
    <xf numFmtId="43" fontId="73" fillId="56" borderId="65" xfId="2446" applyFont="1" applyFill="1" applyBorder="1" applyAlignment="1">
      <alignment horizontal="left" vertical="center"/>
    </xf>
    <xf numFmtId="0" fontId="75" fillId="56" borderId="62" xfId="0" applyFont="1" applyFill="1" applyBorder="1" applyAlignment="1">
      <alignment horizontal="left" vertical="center"/>
    </xf>
    <xf numFmtId="0" fontId="75" fillId="56" borderId="70" xfId="0" applyFont="1" applyFill="1" applyBorder="1"/>
    <xf numFmtId="0" fontId="73" fillId="56" borderId="62" xfId="0" applyFont="1" applyFill="1" applyBorder="1"/>
    <xf numFmtId="0" fontId="73" fillId="56" borderId="64" xfId="0" applyFont="1" applyFill="1" applyBorder="1"/>
    <xf numFmtId="41" fontId="73" fillId="0" borderId="0" xfId="0" applyNumberFormat="1" applyFont="1"/>
    <xf numFmtId="0" fontId="75" fillId="55" borderId="0" xfId="0" applyFont="1" applyFill="1" applyAlignment="1" applyProtection="1">
      <alignment horizontal="centerContinuous" vertical="center"/>
      <protection hidden="1"/>
    </xf>
    <xf numFmtId="3" fontId="73" fillId="0" borderId="0" xfId="0" applyNumberFormat="1" applyFont="1"/>
    <xf numFmtId="41" fontId="73" fillId="0" borderId="0" xfId="0" applyNumberFormat="1" applyFont="1" applyAlignment="1">
      <alignment horizontal="right" vertical="center" wrapText="1"/>
    </xf>
    <xf numFmtId="41" fontId="73" fillId="0" borderId="27" xfId="0" applyNumberFormat="1" applyFont="1" applyBorder="1" applyAlignment="1">
      <alignment horizontal="right" vertical="center"/>
    </xf>
    <xf numFmtId="0" fontId="73" fillId="0" borderId="0" xfId="0" applyFont="1" applyAlignment="1">
      <alignment vertical="center" wrapText="1"/>
    </xf>
    <xf numFmtId="0" fontId="93" fillId="0" borderId="0" xfId="0" applyFont="1" applyAlignment="1">
      <alignment vertical="top"/>
    </xf>
    <xf numFmtId="0" fontId="93" fillId="0" borderId="0" xfId="0" applyFont="1" applyAlignment="1">
      <alignment horizontal="left" vertical="top"/>
    </xf>
    <xf numFmtId="41" fontId="73" fillId="0" borderId="0" xfId="0" applyNumberFormat="1" applyFont="1" applyAlignment="1">
      <alignment horizontal="right" vertical="center"/>
    </xf>
    <xf numFmtId="41" fontId="73" fillId="0" borderId="0" xfId="0" applyNumberFormat="1" applyFont="1" applyAlignment="1">
      <alignment horizontal="right" wrapText="1"/>
    </xf>
    <xf numFmtId="41" fontId="73" fillId="0" borderId="0" xfId="0" applyNumberFormat="1" applyFont="1" applyAlignment="1">
      <alignment horizontal="right"/>
    </xf>
    <xf numFmtId="0" fontId="94" fillId="0" borderId="0" xfId="0" applyFont="1" applyAlignment="1">
      <alignment horizontal="left" vertical="top"/>
    </xf>
    <xf numFmtId="0" fontId="75" fillId="0" borderId="11" xfId="0" applyFont="1" applyBorder="1"/>
    <xf numFmtId="41" fontId="75" fillId="0" borderId="17" xfId="0" applyNumberFormat="1" applyFont="1" applyBorder="1" applyAlignment="1">
      <alignment horizontal="right"/>
    </xf>
    <xf numFmtId="3" fontId="73" fillId="0" borderId="0" xfId="0" applyNumberFormat="1" applyFont="1" applyAlignment="1">
      <alignment wrapText="1"/>
    </xf>
    <xf numFmtId="41" fontId="75" fillId="0" borderId="42" xfId="0" applyNumberFormat="1" applyFont="1" applyBorder="1" applyAlignment="1">
      <alignment horizontal="center"/>
    </xf>
    <xf numFmtId="41" fontId="75" fillId="0" borderId="0" xfId="0" applyNumberFormat="1" applyFont="1" applyAlignment="1">
      <alignment horizontal="center"/>
    </xf>
    <xf numFmtId="41" fontId="75" fillId="0" borderId="12" xfId="0" applyNumberFormat="1" applyFont="1" applyBorder="1" applyAlignment="1">
      <alignment horizontal="center"/>
    </xf>
    <xf numFmtId="0" fontId="75" fillId="0" borderId="16" xfId="0" applyFont="1" applyBorder="1"/>
    <xf numFmtId="0" fontId="75" fillId="0" borderId="17" xfId="0" applyFont="1" applyBorder="1"/>
    <xf numFmtId="0" fontId="73" fillId="0" borderId="17" xfId="0" applyFont="1" applyBorder="1"/>
    <xf numFmtId="41" fontId="73" fillId="0" borderId="17" xfId="0" applyNumberFormat="1" applyFont="1" applyBorder="1" applyAlignment="1">
      <alignment horizontal="right"/>
    </xf>
    <xf numFmtId="41" fontId="75" fillId="0" borderId="18" xfId="0" applyNumberFormat="1" applyFont="1" applyBorder="1" applyAlignment="1">
      <alignment horizontal="center"/>
    </xf>
    <xf numFmtId="41" fontId="75" fillId="0" borderId="17" xfId="0" applyNumberFormat="1" applyFont="1" applyBorder="1" applyAlignment="1">
      <alignment horizontal="center"/>
    </xf>
    <xf numFmtId="41" fontId="75" fillId="0" borderId="43" xfId="0" applyNumberFormat="1" applyFont="1" applyBorder="1" applyAlignment="1">
      <alignment horizontal="center"/>
    </xf>
    <xf numFmtId="41" fontId="75" fillId="0" borderId="38" xfId="0" applyNumberFormat="1" applyFont="1" applyBorder="1" applyAlignment="1">
      <alignment horizontal="center"/>
    </xf>
    <xf numFmtId="0" fontId="73" fillId="0" borderId="11" xfId="0" applyFont="1" applyBorder="1"/>
    <xf numFmtId="41" fontId="73" fillId="0" borderId="12" xfId="0" applyNumberFormat="1" applyFont="1" applyBorder="1"/>
    <xf numFmtId="0" fontId="75" fillId="0" borderId="0" xfId="0" applyFont="1" applyAlignment="1">
      <alignment horizontal="center" textRotation="60" wrapText="1"/>
    </xf>
    <xf numFmtId="0" fontId="73" fillId="0" borderId="13" xfId="0" applyFont="1" applyBorder="1"/>
    <xf numFmtId="0" fontId="73" fillId="0" borderId="14" xfId="0" applyFont="1" applyBorder="1"/>
    <xf numFmtId="0" fontId="75" fillId="0" borderId="14" xfId="0" applyFont="1" applyBorder="1" applyAlignment="1">
      <alignment horizontal="left" wrapText="1"/>
    </xf>
    <xf numFmtId="41" fontId="75" fillId="0" borderId="14" xfId="0" applyNumberFormat="1" applyFont="1" applyBorder="1" applyAlignment="1">
      <alignment horizontal="right" wrapText="1"/>
    </xf>
    <xf numFmtId="41" fontId="73" fillId="0" borderId="14" xfId="0" applyNumberFormat="1" applyFont="1" applyBorder="1" applyAlignment="1">
      <alignment horizontal="center" wrapText="1"/>
    </xf>
    <xf numFmtId="41" fontId="73" fillId="0" borderId="30" xfId="0" applyNumberFormat="1" applyFont="1" applyBorder="1" applyAlignment="1">
      <alignment horizontal="center" wrapText="1"/>
    </xf>
    <xf numFmtId="0" fontId="75" fillId="0" borderId="11" xfId="0" applyFont="1" applyBorder="1" applyAlignment="1">
      <alignment vertical="center"/>
    </xf>
    <xf numFmtId="0" fontId="75" fillId="0" borderId="0" xfId="0" applyFont="1" applyAlignment="1">
      <alignment vertical="center"/>
    </xf>
    <xf numFmtId="41" fontId="73" fillId="0" borderId="0" xfId="0" applyNumberFormat="1" applyFont="1" applyAlignment="1">
      <alignment vertical="center" wrapText="1"/>
    </xf>
    <xf numFmtId="3" fontId="73" fillId="0" borderId="11" xfId="0" applyNumberFormat="1" applyFont="1" applyBorder="1"/>
    <xf numFmtId="0" fontId="73" fillId="0" borderId="0" xfId="0" applyFont="1" applyAlignment="1">
      <alignment vertical="center"/>
    </xf>
    <xf numFmtId="41" fontId="73" fillId="0" borderId="20" xfId="0" applyNumberFormat="1" applyFont="1" applyBorder="1" applyAlignment="1">
      <alignment vertical="center" wrapText="1"/>
    </xf>
    <xf numFmtId="41" fontId="73" fillId="0" borderId="31" xfId="0" applyNumberFormat="1" applyFont="1" applyBorder="1" applyAlignment="1">
      <alignment vertical="center" wrapText="1"/>
    </xf>
    <xf numFmtId="41" fontId="73" fillId="29" borderId="29" xfId="0" applyNumberFormat="1" applyFont="1" applyFill="1" applyBorder="1" applyAlignment="1" applyProtection="1">
      <alignment vertical="center" wrapText="1"/>
      <protection locked="0"/>
    </xf>
    <xf numFmtId="41" fontId="73" fillId="0" borderId="21" xfId="0" applyNumberFormat="1" applyFont="1" applyBorder="1" applyAlignment="1">
      <alignment vertical="center" wrapText="1"/>
    </xf>
    <xf numFmtId="41" fontId="73" fillId="0" borderId="29" xfId="0" applyNumberFormat="1" applyFont="1" applyBorder="1" applyAlignment="1">
      <alignment vertical="center" wrapText="1"/>
    </xf>
    <xf numFmtId="41" fontId="73" fillId="0" borderId="32" xfId="0" applyNumberFormat="1" applyFont="1" applyBorder="1" applyAlignment="1">
      <alignment vertical="center" wrapText="1"/>
    </xf>
    <xf numFmtId="41" fontId="73" fillId="0" borderId="23" xfId="0" applyNumberFormat="1" applyFont="1" applyBorder="1" applyAlignment="1">
      <alignment vertical="center" wrapText="1"/>
    </xf>
    <xf numFmtId="41" fontId="73" fillId="0" borderId="34" xfId="0" applyNumberFormat="1" applyFont="1" applyBorder="1" applyAlignment="1">
      <alignment vertical="center" wrapText="1"/>
    </xf>
    <xf numFmtId="41" fontId="91" fillId="29" borderId="29" xfId="0" applyNumberFormat="1" applyFont="1" applyFill="1" applyBorder="1" applyAlignment="1" applyProtection="1">
      <alignment vertical="center" wrapText="1"/>
      <protection locked="0"/>
    </xf>
    <xf numFmtId="41" fontId="73" fillId="0" borderId="22" xfId="0" applyNumberFormat="1" applyFont="1" applyBorder="1" applyAlignment="1">
      <alignment vertical="center" wrapText="1"/>
    </xf>
    <xf numFmtId="41" fontId="73" fillId="0" borderId="33" xfId="0" applyNumberFormat="1" applyFont="1" applyBorder="1" applyAlignment="1">
      <alignment vertical="center" wrapText="1"/>
    </xf>
    <xf numFmtId="0" fontId="75" fillId="0" borderId="24" xfId="0" applyFont="1" applyBorder="1" applyAlignment="1">
      <alignment horizontal="left" vertical="center"/>
    </xf>
    <xf numFmtId="0" fontId="75" fillId="0" borderId="25" xfId="0" applyFont="1" applyBorder="1" applyAlignment="1">
      <alignment horizontal="left" vertical="center"/>
    </xf>
    <xf numFmtId="3" fontId="73" fillId="0" borderId="26" xfId="0" applyNumberFormat="1" applyFont="1" applyBorder="1" applyAlignment="1">
      <alignment wrapText="1"/>
    </xf>
    <xf numFmtId="41" fontId="73" fillId="0" borderId="25" xfId="0" applyNumberFormat="1" applyFont="1" applyBorder="1" applyAlignment="1">
      <alignment horizontal="right" wrapText="1"/>
    </xf>
    <xf numFmtId="41" fontId="92" fillId="0" borderId="41" xfId="0" applyNumberFormat="1" applyFont="1" applyBorder="1" applyAlignment="1">
      <alignment vertical="center" wrapText="1"/>
    </xf>
    <xf numFmtId="41" fontId="92" fillId="0" borderId="35" xfId="0" applyNumberFormat="1" applyFont="1" applyBorder="1" applyAlignment="1">
      <alignment vertical="center" wrapText="1"/>
    </xf>
    <xf numFmtId="41" fontId="92" fillId="0" borderId="36" xfId="0" applyNumberFormat="1" applyFont="1" applyBorder="1" applyAlignment="1">
      <alignment vertical="center" wrapText="1"/>
    </xf>
    <xf numFmtId="3" fontId="73" fillId="0" borderId="10" xfId="0" applyNumberFormat="1" applyFont="1" applyBorder="1" applyAlignment="1">
      <alignment wrapText="1"/>
    </xf>
    <xf numFmtId="41" fontId="73" fillId="0" borderId="10" xfId="0" applyNumberFormat="1" applyFont="1" applyBorder="1" applyAlignment="1">
      <alignment horizontal="right" wrapText="1"/>
    </xf>
    <xf numFmtId="41" fontId="73" fillId="0" borderId="12" xfId="0" applyNumberFormat="1" applyFont="1" applyBorder="1" applyAlignment="1">
      <alignment vertical="center" wrapText="1"/>
    </xf>
    <xf numFmtId="0" fontId="75" fillId="0" borderId="0" xfId="0" applyFont="1" applyAlignment="1">
      <alignment horizontal="left" vertical="center"/>
    </xf>
    <xf numFmtId="41" fontId="73" fillId="0" borderId="29" xfId="0" applyNumberFormat="1" applyFont="1" applyBorder="1" applyAlignment="1">
      <alignment horizontal="right" vertical="center"/>
    </xf>
    <xf numFmtId="41" fontId="73" fillId="0" borderId="21" xfId="0" applyNumberFormat="1" applyFont="1" applyBorder="1" applyAlignment="1">
      <alignment horizontal="right" vertical="center"/>
    </xf>
    <xf numFmtId="0" fontId="80" fillId="0" borderId="0" xfId="0" applyFont="1" applyAlignment="1">
      <alignment vertical="center" wrapText="1"/>
    </xf>
    <xf numFmtId="41" fontId="80" fillId="0" borderId="0" xfId="0" applyNumberFormat="1" applyFont="1" applyAlignment="1">
      <alignment horizontal="right" vertical="center" wrapText="1"/>
    </xf>
    <xf numFmtId="0" fontId="75" fillId="0" borderId="46" xfId="0" applyFont="1" applyBorder="1" applyAlignment="1">
      <alignment vertical="center"/>
    </xf>
    <xf numFmtId="0" fontId="75" fillId="0" borderId="25" xfId="0" applyFont="1" applyBorder="1" applyAlignment="1">
      <alignment vertical="center"/>
    </xf>
    <xf numFmtId="3" fontId="73" fillId="0" borderId="25" xfId="0" applyNumberFormat="1" applyFont="1" applyBorder="1" applyAlignment="1">
      <alignment wrapText="1"/>
    </xf>
    <xf numFmtId="41" fontId="73" fillId="0" borderId="0" xfId="0" applyNumberFormat="1" applyFont="1" applyAlignment="1">
      <alignment wrapText="1"/>
    </xf>
    <xf numFmtId="41" fontId="73" fillId="0" borderId="12" xfId="0" applyNumberFormat="1" applyFont="1" applyBorder="1" applyAlignment="1">
      <alignment wrapText="1"/>
    </xf>
    <xf numFmtId="41" fontId="73" fillId="0" borderId="20" xfId="0" applyNumberFormat="1" applyFont="1" applyBorder="1"/>
    <xf numFmtId="41" fontId="73" fillId="0" borderId="31" xfId="0" applyNumberFormat="1" applyFont="1" applyBorder="1"/>
    <xf numFmtId="41" fontId="75" fillId="0" borderId="19" xfId="0" applyNumberFormat="1" applyFont="1" applyBorder="1" applyAlignment="1">
      <alignment horizontal="center"/>
    </xf>
    <xf numFmtId="41" fontId="73" fillId="0" borderId="44" xfId="0" applyNumberFormat="1" applyFont="1" applyBorder="1" applyAlignment="1">
      <alignment vertical="center" wrapText="1"/>
    </xf>
    <xf numFmtId="41" fontId="73" fillId="0" borderId="25" xfId="0" applyNumberFormat="1" applyFont="1" applyBorder="1" applyAlignment="1">
      <alignment vertical="center" wrapText="1"/>
    </xf>
    <xf numFmtId="41" fontId="92" fillId="0" borderId="0" xfId="0" applyNumberFormat="1" applyFont="1" applyAlignment="1">
      <alignment vertical="center" wrapText="1"/>
    </xf>
    <xf numFmtId="41" fontId="92" fillId="0" borderId="23" xfId="0" applyNumberFormat="1" applyFont="1" applyBorder="1" applyAlignment="1">
      <alignment vertical="center" wrapText="1"/>
    </xf>
    <xf numFmtId="41" fontId="92" fillId="0" borderId="25" xfId="0" applyNumberFormat="1" applyFont="1" applyBorder="1" applyAlignment="1">
      <alignment vertical="center" wrapText="1"/>
    </xf>
    <xf numFmtId="3" fontId="73" fillId="0" borderId="0" xfId="0" applyNumberFormat="1" applyFont="1" applyAlignment="1">
      <alignment vertical="center"/>
    </xf>
    <xf numFmtId="41" fontId="73" fillId="0" borderId="0" xfId="0" applyNumberFormat="1" applyFont="1" applyAlignment="1">
      <alignment vertical="center"/>
    </xf>
    <xf numFmtId="41" fontId="73" fillId="0" borderId="23" xfId="0" applyNumberFormat="1" applyFont="1" applyBorder="1"/>
    <xf numFmtId="41" fontId="92" fillId="0" borderId="0" xfId="0" applyNumberFormat="1" applyFont="1" applyAlignment="1">
      <alignment horizontal="center"/>
    </xf>
    <xf numFmtId="41" fontId="92" fillId="0" borderId="0" xfId="0" applyNumberFormat="1" applyFont="1"/>
    <xf numFmtId="0" fontId="73" fillId="55" borderId="0" xfId="2447" applyFont="1" applyFill="1" applyAlignment="1" applyProtection="1">
      <alignment vertical="top"/>
      <protection hidden="1"/>
    </xf>
    <xf numFmtId="0" fontId="75" fillId="55" borderId="0" xfId="2447" applyFont="1" applyFill="1" applyAlignment="1" applyProtection="1">
      <alignment vertical="center"/>
      <protection hidden="1"/>
    </xf>
    <xf numFmtId="0" fontId="75" fillId="28" borderId="0" xfId="2447" applyFont="1" applyFill="1" applyAlignment="1" applyProtection="1">
      <alignment vertical="top" wrapText="1"/>
      <protection hidden="1"/>
    </xf>
    <xf numFmtId="0" fontId="73" fillId="55" borderId="51" xfId="2447" applyFont="1" applyFill="1" applyBorder="1" applyAlignment="1" applyProtection="1">
      <alignment horizontal="center" vertical="center"/>
      <protection hidden="1"/>
    </xf>
    <xf numFmtId="41" fontId="92" fillId="0" borderId="27" xfId="0" applyNumberFormat="1" applyFont="1" applyBorder="1" applyAlignment="1">
      <alignment vertical="center" wrapText="1"/>
    </xf>
    <xf numFmtId="41" fontId="91" fillId="0" borderId="0" xfId="0" applyNumberFormat="1" applyFont="1"/>
    <xf numFmtId="41" fontId="92" fillId="0" borderId="27" xfId="0" applyNumberFormat="1" applyFont="1" applyBorder="1" applyAlignment="1">
      <alignment horizontal="center"/>
    </xf>
    <xf numFmtId="41" fontId="73" fillId="0" borderId="0" xfId="0" applyNumberFormat="1" applyFont="1" applyAlignment="1">
      <alignment horizontal="center" wrapText="1"/>
    </xf>
    <xf numFmtId="41" fontId="73" fillId="0" borderId="39" xfId="0" applyNumberFormat="1" applyFont="1" applyBorder="1" applyAlignment="1">
      <alignment vertical="center" wrapText="1"/>
    </xf>
    <xf numFmtId="41" fontId="92" fillId="0" borderId="29" xfId="0" applyNumberFormat="1" applyFont="1" applyBorder="1" applyAlignment="1">
      <alignment vertical="center" wrapText="1"/>
    </xf>
    <xf numFmtId="41" fontId="73" fillId="0" borderId="56" xfId="0" applyNumberFormat="1" applyFont="1" applyBorder="1" applyAlignment="1">
      <alignment vertical="center" wrapText="1"/>
    </xf>
    <xf numFmtId="41" fontId="92" fillId="0" borderId="12" xfId="0" applyNumberFormat="1" applyFont="1" applyBorder="1" applyAlignment="1">
      <alignment vertical="center" wrapText="1"/>
    </xf>
    <xf numFmtId="41" fontId="89" fillId="31" borderId="0" xfId="95" applyNumberFormat="1" applyFont="1" applyFill="1" applyAlignment="1">
      <alignment horizontal="centerContinuous" vertical="center"/>
    </xf>
    <xf numFmtId="0" fontId="73" fillId="54" borderId="58" xfId="0" applyFont="1" applyFill="1" applyBorder="1"/>
    <xf numFmtId="0" fontId="73" fillId="57" borderId="58" xfId="0" applyFont="1" applyFill="1" applyBorder="1"/>
    <xf numFmtId="0" fontId="73" fillId="28" borderId="58" xfId="0" applyFont="1" applyFill="1" applyBorder="1" applyAlignment="1">
      <alignment wrapText="1"/>
    </xf>
    <xf numFmtId="0" fontId="73" fillId="55" borderId="0" xfId="45" applyFont="1" applyFill="1"/>
    <xf numFmtId="0" fontId="73" fillId="55" borderId="0" xfId="0" applyFont="1" applyFill="1"/>
    <xf numFmtId="0" fontId="74" fillId="55" borderId="0" xfId="45" applyFont="1" applyFill="1" applyAlignment="1">
      <alignment horizontal="centerContinuous"/>
    </xf>
    <xf numFmtId="0" fontId="75" fillId="55" borderId="0" xfId="0" applyFont="1" applyFill="1" applyAlignment="1">
      <alignment horizontal="center"/>
    </xf>
    <xf numFmtId="0" fontId="73" fillId="54" borderId="65" xfId="2447" applyFont="1" applyFill="1" applyBorder="1" applyAlignment="1" applyProtection="1">
      <alignment horizontal="left" vertical="top" wrapText="1"/>
      <protection locked="0"/>
    </xf>
    <xf numFmtId="0" fontId="75" fillId="0" borderId="0" xfId="0" applyFont="1" applyAlignment="1" applyProtection="1">
      <alignment horizontal="centerContinuous" vertical="center"/>
      <protection hidden="1"/>
    </xf>
    <xf numFmtId="0" fontId="75" fillId="28" borderId="0" xfId="2447" applyFont="1" applyFill="1" applyAlignment="1" applyProtection="1">
      <alignment vertical="center"/>
      <protection hidden="1"/>
    </xf>
    <xf numFmtId="167" fontId="73" fillId="55" borderId="0" xfId="2447" applyNumberFormat="1" applyFont="1" applyFill="1" applyAlignment="1">
      <alignment horizontal="center" vertical="center" wrapText="1"/>
    </xf>
    <xf numFmtId="0" fontId="73" fillId="55" borderId="0" xfId="2447" applyFont="1" applyFill="1" applyAlignment="1" applyProtection="1">
      <alignment vertical="center"/>
      <protection hidden="1"/>
    </xf>
    <xf numFmtId="2" fontId="73" fillId="28" borderId="0" xfId="2447" applyNumberFormat="1" applyFont="1" applyFill="1" applyAlignment="1" applyProtection="1">
      <alignment horizontal="center" vertical="center" wrapText="1"/>
      <protection hidden="1"/>
    </xf>
    <xf numFmtId="0" fontId="83" fillId="55" borderId="0" xfId="0" applyFont="1" applyFill="1" applyAlignment="1" applyProtection="1">
      <alignment horizontal="centerContinuous" vertical="center"/>
      <protection hidden="1"/>
    </xf>
    <xf numFmtId="0" fontId="74" fillId="55" borderId="0" xfId="2447" applyFont="1" applyFill="1" applyAlignment="1" applyProtection="1">
      <alignment horizontal="center" vertical="center"/>
      <protection hidden="1"/>
    </xf>
    <xf numFmtId="0" fontId="75" fillId="56" borderId="60" xfId="0" applyFont="1" applyFill="1" applyBorder="1"/>
    <xf numFmtId="0" fontId="73" fillId="0" borderId="66" xfId="0" applyFont="1" applyBorder="1"/>
    <xf numFmtId="0" fontId="73" fillId="0" borderId="57" xfId="0" applyFont="1" applyBorder="1"/>
    <xf numFmtId="0" fontId="73" fillId="0" borderId="61" xfId="0" applyFont="1" applyBorder="1"/>
    <xf numFmtId="0" fontId="73" fillId="0" borderId="49" xfId="0" applyFont="1" applyBorder="1"/>
    <xf numFmtId="0" fontId="73" fillId="0" borderId="50" xfId="0" applyFont="1" applyBorder="1"/>
    <xf numFmtId="0" fontId="95" fillId="0" borderId="49" xfId="0" applyFont="1" applyBorder="1"/>
    <xf numFmtId="0" fontId="74" fillId="0" borderId="0" xfId="0" applyFont="1" applyAlignment="1">
      <alignment horizontal="centerContinuous" vertical="center" wrapText="1"/>
    </xf>
    <xf numFmtId="0" fontId="74" fillId="0" borderId="0" xfId="0" applyFont="1" applyAlignment="1">
      <alignment horizontal="centerContinuous" vertical="center"/>
    </xf>
    <xf numFmtId="0" fontId="95" fillId="0" borderId="0" xfId="0" applyFont="1" applyAlignment="1">
      <alignment horizontal="centerContinuous" vertical="center"/>
    </xf>
    <xf numFmtId="0" fontId="95" fillId="0" borderId="50" xfId="0" applyFont="1" applyBorder="1"/>
    <xf numFmtId="0" fontId="73" fillId="0" borderId="49" xfId="0" applyFont="1" applyBorder="1" applyAlignment="1">
      <alignment wrapText="1"/>
    </xf>
    <xf numFmtId="0" fontId="73" fillId="0" borderId="71" xfId="0" applyFont="1" applyBorder="1"/>
    <xf numFmtId="0" fontId="73" fillId="0" borderId="50" xfId="0" applyFont="1" applyBorder="1" applyAlignment="1">
      <alignment wrapText="1"/>
    </xf>
    <xf numFmtId="0" fontId="75" fillId="0" borderId="0" xfId="0" quotePrefix="1" applyFont="1" applyAlignment="1">
      <alignment horizontal="left"/>
    </xf>
    <xf numFmtId="0" fontId="73" fillId="0" borderId="59" xfId="0" applyFont="1" applyBorder="1"/>
    <xf numFmtId="0" fontId="73" fillId="0" borderId="0" xfId="0" quotePrefix="1" applyFont="1" applyAlignment="1">
      <alignment horizontal="left"/>
    </xf>
    <xf numFmtId="0" fontId="90" fillId="0" borderId="0" xfId="2445" quotePrefix="1" applyFont="1" applyFill="1" applyBorder="1" applyAlignment="1" applyProtection="1">
      <alignment horizontal="left"/>
    </xf>
    <xf numFmtId="0" fontId="73" fillId="0" borderId="0" xfId="0" quotePrefix="1" applyFont="1"/>
    <xf numFmtId="0" fontId="73" fillId="0" borderId="72" xfId="0" applyFont="1" applyBorder="1" applyAlignment="1">
      <alignment wrapText="1"/>
    </xf>
    <xf numFmtId="0" fontId="73" fillId="0" borderId="72" xfId="0" applyFont="1" applyBorder="1"/>
    <xf numFmtId="0" fontId="75" fillId="0" borderId="58" xfId="0" applyFont="1" applyBorder="1"/>
    <xf numFmtId="0" fontId="73" fillId="60" borderId="58" xfId="0" applyFont="1" applyFill="1" applyBorder="1"/>
    <xf numFmtId="0" fontId="75" fillId="0" borderId="58" xfId="0" applyFont="1" applyBorder="1" applyAlignment="1">
      <alignment horizontal="center"/>
    </xf>
    <xf numFmtId="0" fontId="73" fillId="58" borderId="58" xfId="0" applyFont="1" applyFill="1" applyBorder="1" applyAlignment="1">
      <alignment horizontal="center"/>
    </xf>
    <xf numFmtId="0" fontId="73" fillId="0" borderId="78" xfId="0" applyFont="1" applyBorder="1"/>
    <xf numFmtId="0" fontId="80" fillId="0" borderId="49" xfId="0" applyFont="1" applyBorder="1"/>
    <xf numFmtId="0" fontId="97" fillId="0" borderId="71" xfId="0" applyFont="1" applyBorder="1"/>
    <xf numFmtId="41" fontId="73" fillId="0" borderId="72" xfId="0" applyNumberFormat="1" applyFont="1" applyBorder="1"/>
    <xf numFmtId="0" fontId="73" fillId="0" borderId="73" xfId="0" applyFont="1" applyBorder="1"/>
    <xf numFmtId="0" fontId="80" fillId="59" borderId="58" xfId="0" applyFont="1" applyFill="1" applyBorder="1"/>
    <xf numFmtId="0" fontId="73" fillId="59" borderId="58" xfId="0" applyFont="1" applyFill="1" applyBorder="1" applyAlignment="1">
      <alignment horizontal="center" vertical="center"/>
    </xf>
    <xf numFmtId="41" fontId="75" fillId="0" borderId="66" xfId="0" applyNumberFormat="1" applyFont="1" applyBorder="1"/>
    <xf numFmtId="41" fontId="73" fillId="0" borderId="78" xfId="0" applyNumberFormat="1" applyFont="1" applyBorder="1"/>
    <xf numFmtId="0" fontId="73" fillId="0" borderId="79" xfId="0" applyFont="1" applyBorder="1" applyAlignment="1">
      <alignment horizontal="center"/>
    </xf>
    <xf numFmtId="41" fontId="73" fillId="0" borderId="49" xfId="0" applyNumberFormat="1" applyFont="1" applyBorder="1"/>
    <xf numFmtId="0" fontId="73" fillId="0" borderId="50" xfId="0" applyFont="1" applyBorder="1" applyAlignment="1">
      <alignment horizontal="center"/>
    </xf>
    <xf numFmtId="41" fontId="73" fillId="0" borderId="71" xfId="0" applyNumberFormat="1" applyFont="1" applyBorder="1"/>
    <xf numFmtId="0" fontId="73" fillId="0" borderId="73" xfId="0" applyFont="1" applyBorder="1" applyAlignment="1">
      <alignment horizontal="center"/>
    </xf>
    <xf numFmtId="0" fontId="0" fillId="0" borderId="49" xfId="0" applyBorder="1"/>
    <xf numFmtId="0" fontId="82" fillId="61" borderId="67" xfId="0" applyFont="1" applyFill="1" applyBorder="1"/>
    <xf numFmtId="0" fontId="81" fillId="61" borderId="68" xfId="0" applyFont="1" applyFill="1" applyBorder="1"/>
    <xf numFmtId="0" fontId="81" fillId="61" borderId="69" xfId="0" applyFont="1" applyFill="1" applyBorder="1"/>
    <xf numFmtId="0" fontId="73" fillId="0" borderId="60" xfId="0" applyFont="1" applyBorder="1"/>
    <xf numFmtId="0" fontId="73" fillId="0" borderId="53" xfId="0" applyFont="1" applyBorder="1"/>
    <xf numFmtId="0" fontId="73" fillId="0" borderId="54" xfId="0" applyFont="1" applyBorder="1"/>
    <xf numFmtId="41" fontId="54" fillId="0" borderId="72" xfId="2445" applyNumberFormat="1" applyFont="1" applyBorder="1" applyAlignment="1" applyProtection="1"/>
    <xf numFmtId="172" fontId="73" fillId="0" borderId="0" xfId="2446" applyNumberFormat="1" applyFont="1"/>
    <xf numFmtId="0" fontId="75" fillId="56" borderId="71" xfId="0" applyFont="1" applyFill="1" applyBorder="1"/>
    <xf numFmtId="0" fontId="73" fillId="56" borderId="53" xfId="0" applyFont="1" applyFill="1" applyBorder="1" applyAlignment="1" applyProtection="1">
      <alignment horizontal="center"/>
      <protection locked="0"/>
    </xf>
    <xf numFmtId="41" fontId="75" fillId="0" borderId="89" xfId="0" applyNumberFormat="1" applyFont="1" applyBorder="1" applyAlignment="1">
      <alignment horizontal="center"/>
    </xf>
    <xf numFmtId="41" fontId="75" fillId="29" borderId="17" xfId="0" applyNumberFormat="1" applyFont="1" applyFill="1" applyBorder="1" applyAlignment="1" applyProtection="1">
      <alignment horizontal="center"/>
      <protection locked="0"/>
    </xf>
    <xf numFmtId="41" fontId="75" fillId="29" borderId="76" xfId="0" applyNumberFormat="1" applyFont="1" applyFill="1" applyBorder="1" applyAlignment="1" applyProtection="1">
      <alignment horizontal="center"/>
      <protection locked="0"/>
    </xf>
    <xf numFmtId="41" fontId="75" fillId="0" borderId="82" xfId="0" applyNumberFormat="1" applyFont="1" applyBorder="1" applyAlignment="1">
      <alignment horizontal="center"/>
    </xf>
    <xf numFmtId="41" fontId="73" fillId="0" borderId="88" xfId="0" applyNumberFormat="1" applyFont="1" applyBorder="1" applyAlignment="1">
      <alignment vertical="center" wrapText="1"/>
    </xf>
    <xf numFmtId="41" fontId="75" fillId="0" borderId="88" xfId="0" applyNumberFormat="1" applyFont="1" applyBorder="1" applyAlignment="1">
      <alignment horizontal="center"/>
    </xf>
    <xf numFmtId="41" fontId="75" fillId="0" borderId="12" xfId="0" applyNumberFormat="1" applyFont="1" applyBorder="1" applyAlignment="1">
      <alignment vertical="center" wrapText="1"/>
    </xf>
    <xf numFmtId="41" fontId="75" fillId="0" borderId="88" xfId="0" applyNumberFormat="1" applyFont="1" applyBorder="1" applyAlignment="1">
      <alignment vertical="center" wrapText="1"/>
    </xf>
    <xf numFmtId="41" fontId="75" fillId="0" borderId="75" xfId="0" applyNumberFormat="1" applyFont="1" applyBorder="1" applyAlignment="1">
      <alignment horizontal="center"/>
    </xf>
    <xf numFmtId="0" fontId="73" fillId="0" borderId="85" xfId="0" applyFont="1" applyBorder="1" applyProtection="1">
      <protection locked="0"/>
    </xf>
    <xf numFmtId="0" fontId="73" fillId="0" borderId="85" xfId="0" applyFont="1" applyBorder="1"/>
    <xf numFmtId="41" fontId="73" fillId="0" borderId="38" xfId="0" applyNumberFormat="1" applyFont="1" applyBorder="1"/>
    <xf numFmtId="41" fontId="73" fillId="0" borderId="17" xfId="0" applyNumberFormat="1" applyFont="1" applyBorder="1" applyAlignment="1">
      <alignment horizontal="left"/>
    </xf>
    <xf numFmtId="41" fontId="73" fillId="0" borderId="17" xfId="0" applyNumberFormat="1" applyFont="1" applyBorder="1"/>
    <xf numFmtId="0" fontId="75" fillId="0" borderId="85" xfId="0" applyFont="1" applyBorder="1"/>
    <xf numFmtId="0" fontId="74" fillId="0" borderId="85" xfId="0" applyFont="1" applyBorder="1" applyAlignment="1">
      <alignment horizontal="center" vertical="center"/>
    </xf>
    <xf numFmtId="0" fontId="74" fillId="0" borderId="12" xfId="0" applyFont="1" applyBorder="1" applyAlignment="1">
      <alignment horizontal="centerContinuous"/>
    </xf>
    <xf numFmtId="0" fontId="74" fillId="0" borderId="0" xfId="0" applyFont="1" applyAlignment="1">
      <alignment horizontal="centerContinuous"/>
    </xf>
    <xf numFmtId="0" fontId="75" fillId="0" borderId="84" xfId="0" applyFont="1" applyBorder="1"/>
    <xf numFmtId="0" fontId="74" fillId="0" borderId="37" xfId="0" applyFont="1" applyBorder="1" applyAlignment="1">
      <alignment horizontal="centerContinuous"/>
    </xf>
    <xf numFmtId="3" fontId="72" fillId="0" borderId="0" xfId="0" applyNumberFormat="1" applyFont="1"/>
    <xf numFmtId="41" fontId="72" fillId="0" borderId="0" xfId="0" applyNumberFormat="1" applyFont="1"/>
    <xf numFmtId="41" fontId="72" fillId="0" borderId="0" xfId="0" applyNumberFormat="1" applyFont="1" applyAlignment="1">
      <alignment horizontal="right"/>
    </xf>
    <xf numFmtId="0" fontId="72" fillId="0" borderId="0" xfId="0" applyFont="1"/>
    <xf numFmtId="0" fontId="74" fillId="0" borderId="37" xfId="0" applyFont="1" applyBorder="1" applyAlignment="1">
      <alignment horizontal="centerContinuous" wrapText="1"/>
    </xf>
    <xf numFmtId="0" fontId="74" fillId="0" borderId="10" xfId="0" applyFont="1" applyBorder="1" applyAlignment="1">
      <alignment horizontal="centerContinuous" wrapText="1"/>
    </xf>
    <xf numFmtId="0" fontId="74" fillId="0" borderId="47" xfId="0" applyFont="1" applyBorder="1" applyAlignment="1">
      <alignment horizontal="centerContinuous" wrapText="1"/>
    </xf>
    <xf numFmtId="41" fontId="75" fillId="0" borderId="90" xfId="0" applyNumberFormat="1" applyFont="1" applyBorder="1" applyAlignment="1">
      <alignment horizontal="center"/>
    </xf>
    <xf numFmtId="41" fontId="75" fillId="0" borderId="76" xfId="0" applyNumberFormat="1" applyFont="1" applyBorder="1" applyAlignment="1">
      <alignment horizontal="center" wrapText="1"/>
    </xf>
    <xf numFmtId="41" fontId="75" fillId="0" borderId="17" xfId="0" applyNumberFormat="1" applyFont="1" applyBorder="1" applyAlignment="1">
      <alignment horizontal="center" wrapText="1"/>
    </xf>
    <xf numFmtId="41" fontId="75" fillId="0" borderId="89" xfId="0" applyNumberFormat="1" applyFont="1" applyBorder="1" applyAlignment="1">
      <alignment horizontal="center" wrapText="1"/>
    </xf>
    <xf numFmtId="41" fontId="75" fillId="0" borderId="38" xfId="0" applyNumberFormat="1" applyFont="1" applyBorder="1" applyAlignment="1">
      <alignment horizontal="center" wrapText="1"/>
    </xf>
    <xf numFmtId="0" fontId="75" fillId="0" borderId="85" xfId="0" applyFont="1" applyBorder="1" applyAlignment="1">
      <alignment horizontal="center" vertical="center"/>
    </xf>
    <xf numFmtId="0" fontId="75" fillId="0" borderId="85" xfId="0" applyFont="1" applyBorder="1" applyAlignment="1">
      <alignment horizontal="center" textRotation="60" wrapText="1"/>
    </xf>
    <xf numFmtId="0" fontId="75" fillId="0" borderId="0" xfId="0" applyFont="1" applyAlignment="1">
      <alignment vertical="top" wrapText="1"/>
    </xf>
    <xf numFmtId="0" fontId="75" fillId="0" borderId="12" xfId="0" applyFont="1" applyBorder="1" applyAlignment="1">
      <alignment vertical="top" wrapText="1"/>
    </xf>
    <xf numFmtId="3" fontId="73" fillId="0" borderId="85" xfId="0" applyNumberFormat="1" applyFont="1" applyBorder="1" applyAlignment="1">
      <alignment wrapText="1"/>
    </xf>
    <xf numFmtId="41" fontId="73" fillId="29" borderId="92" xfId="0" applyNumberFormat="1" applyFont="1" applyFill="1" applyBorder="1" applyAlignment="1" applyProtection="1">
      <alignment vertical="center" wrapText="1"/>
      <protection locked="0"/>
    </xf>
    <xf numFmtId="41" fontId="73" fillId="0" borderId="93" xfId="0" applyNumberFormat="1" applyFont="1" applyBorder="1" applyAlignment="1">
      <alignment vertical="center" wrapText="1"/>
    </xf>
    <xf numFmtId="3" fontId="73" fillId="0" borderId="85" xfId="0" applyNumberFormat="1" applyFont="1" applyBorder="1" applyAlignment="1" applyProtection="1">
      <alignment horizontal="center" wrapText="1"/>
      <protection locked="0"/>
    </xf>
    <xf numFmtId="3" fontId="72" fillId="0" borderId="0" xfId="0" applyNumberFormat="1" applyFont="1" applyAlignment="1">
      <alignment vertical="center"/>
    </xf>
    <xf numFmtId="3" fontId="73" fillId="0" borderId="11" xfId="0" applyNumberFormat="1" applyFont="1" applyBorder="1" applyAlignment="1">
      <alignment vertical="center"/>
    </xf>
    <xf numFmtId="41" fontId="73" fillId="0" borderId="92" xfId="0" applyNumberFormat="1" applyFont="1" applyBorder="1" applyAlignment="1">
      <alignment vertical="center" wrapText="1"/>
    </xf>
    <xf numFmtId="3" fontId="73" fillId="0" borderId="85" xfId="0" applyNumberFormat="1" applyFont="1" applyBorder="1" applyAlignment="1" applyProtection="1">
      <alignment horizontal="center" vertical="center" wrapText="1"/>
      <protection locked="0"/>
    </xf>
    <xf numFmtId="41" fontId="73" fillId="0" borderId="95" xfId="0" applyNumberFormat="1" applyFont="1" applyBorder="1" applyAlignment="1">
      <alignment vertical="center" wrapText="1"/>
    </xf>
    <xf numFmtId="41" fontId="91" fillId="29" borderId="92" xfId="0" applyNumberFormat="1" applyFont="1" applyFill="1" applyBorder="1" applyAlignment="1" applyProtection="1">
      <alignment vertical="center" wrapText="1"/>
      <protection locked="0"/>
    </xf>
    <xf numFmtId="41" fontId="91" fillId="0" borderId="93" xfId="0" applyNumberFormat="1" applyFont="1" applyBorder="1" applyAlignment="1">
      <alignment vertical="center" wrapText="1"/>
    </xf>
    <xf numFmtId="41" fontId="92" fillId="0" borderId="96" xfId="0" applyNumberFormat="1" applyFont="1" applyBorder="1" applyAlignment="1">
      <alignment vertical="center" wrapText="1"/>
    </xf>
    <xf numFmtId="41" fontId="92" fillId="0" borderId="97" xfId="0" applyNumberFormat="1" applyFont="1" applyBorder="1" applyAlignment="1">
      <alignment vertical="center" wrapText="1"/>
    </xf>
    <xf numFmtId="3" fontId="73" fillId="0" borderId="98" xfId="0" applyNumberFormat="1" applyFont="1" applyBorder="1" applyAlignment="1" applyProtection="1">
      <alignment horizontal="center" wrapText="1"/>
      <protection locked="0"/>
    </xf>
    <xf numFmtId="41" fontId="73" fillId="0" borderId="99" xfId="0" applyNumberFormat="1" applyFont="1" applyBorder="1" applyAlignment="1">
      <alignment horizontal="center" vertical="center" wrapText="1"/>
    </xf>
    <xf numFmtId="41" fontId="73" fillId="0" borderId="99" xfId="0" applyNumberFormat="1" applyFont="1" applyBorder="1" applyAlignment="1">
      <alignment vertical="center" wrapText="1"/>
    </xf>
    <xf numFmtId="3" fontId="73" fillId="0" borderId="88" xfId="0" applyNumberFormat="1" applyFont="1" applyBorder="1" applyAlignment="1" applyProtection="1">
      <alignment horizontal="center" wrapText="1"/>
      <protection locked="0"/>
    </xf>
    <xf numFmtId="41" fontId="73" fillId="0" borderId="0" xfId="0" applyNumberFormat="1" applyFont="1" applyAlignment="1">
      <alignment horizontal="center" vertical="center" wrapText="1"/>
    </xf>
    <xf numFmtId="41" fontId="75" fillId="0" borderId="0" xfId="0" applyNumberFormat="1" applyFont="1" applyAlignment="1">
      <alignment horizontal="center" vertical="center" wrapText="1"/>
    </xf>
    <xf numFmtId="41" fontId="73" fillId="0" borderId="93" xfId="0" applyNumberFormat="1" applyFont="1" applyBorder="1" applyAlignment="1">
      <alignment horizontal="right" vertical="center"/>
    </xf>
    <xf numFmtId="165" fontId="73" fillId="0" borderId="0" xfId="0" applyNumberFormat="1" applyFont="1" applyAlignment="1">
      <alignment horizontal="right" vertical="center"/>
    </xf>
    <xf numFmtId="165" fontId="73" fillId="0" borderId="0" xfId="0" applyNumberFormat="1" applyFont="1" applyAlignment="1">
      <alignment horizontal="right" wrapText="1"/>
    </xf>
    <xf numFmtId="41" fontId="73" fillId="0" borderId="100" xfId="0" applyNumberFormat="1" applyFont="1" applyBorder="1" applyAlignment="1">
      <alignment vertical="center" wrapText="1"/>
    </xf>
    <xf numFmtId="165" fontId="73" fillId="0" borderId="0" xfId="0" applyNumberFormat="1" applyFont="1" applyAlignment="1">
      <alignment horizontal="right"/>
    </xf>
    <xf numFmtId="41" fontId="92" fillId="0" borderId="91" xfId="0" applyNumberFormat="1" applyFont="1" applyBorder="1" applyAlignment="1">
      <alignment vertical="center" wrapText="1"/>
    </xf>
    <xf numFmtId="41" fontId="92" fillId="0" borderId="101" xfId="0" applyNumberFormat="1" applyFont="1" applyBorder="1" applyAlignment="1">
      <alignment vertical="center" wrapText="1"/>
    </xf>
    <xf numFmtId="0" fontId="73" fillId="0" borderId="10" xfId="0" applyFont="1" applyBorder="1"/>
    <xf numFmtId="41" fontId="73" fillId="0" borderId="10" xfId="0" applyNumberFormat="1" applyFont="1" applyBorder="1" applyAlignment="1">
      <alignment wrapText="1"/>
    </xf>
    <xf numFmtId="41" fontId="73" fillId="0" borderId="10" xfId="0" applyNumberFormat="1" applyFont="1" applyBorder="1" applyAlignment="1">
      <alignment horizontal="center" wrapText="1"/>
    </xf>
    <xf numFmtId="173" fontId="81" fillId="0" borderId="0" xfId="0" applyNumberFormat="1" applyFont="1" applyAlignment="1" applyProtection="1">
      <alignment horizontal="right"/>
      <protection hidden="1"/>
    </xf>
    <xf numFmtId="41" fontId="92" fillId="0" borderId="92" xfId="0" applyNumberFormat="1" applyFont="1" applyBorder="1"/>
    <xf numFmtId="41" fontId="92" fillId="0" borderId="21" xfId="0" applyNumberFormat="1" applyFont="1" applyBorder="1"/>
    <xf numFmtId="41" fontId="73" fillId="0" borderId="34" xfId="0" applyNumberFormat="1" applyFont="1" applyBorder="1"/>
    <xf numFmtId="41" fontId="92" fillId="0" borderId="92" xfId="0" applyNumberFormat="1" applyFont="1" applyBorder="1" applyAlignment="1">
      <alignment horizontal="center"/>
    </xf>
    <xf numFmtId="41" fontId="92" fillId="0" borderId="56" xfId="0" applyNumberFormat="1" applyFont="1" applyBorder="1" applyAlignment="1">
      <alignment horizontal="center"/>
    </xf>
    <xf numFmtId="0" fontId="73" fillId="0" borderId="25" xfId="0" applyFont="1" applyBorder="1"/>
    <xf numFmtId="41" fontId="73" fillId="0" borderId="25" xfId="0" applyNumberFormat="1" applyFont="1" applyBorder="1" applyAlignment="1">
      <alignment horizontal="right"/>
    </xf>
    <xf numFmtId="41" fontId="92" fillId="0" borderId="25" xfId="0" applyNumberFormat="1" applyFont="1" applyBorder="1"/>
    <xf numFmtId="41" fontId="92" fillId="0" borderId="96" xfId="0" applyNumberFormat="1" applyFont="1" applyBorder="1" applyAlignment="1">
      <alignment horizontal="center"/>
    </xf>
    <xf numFmtId="41" fontId="92" fillId="0" borderId="35" xfId="0" applyNumberFormat="1" applyFont="1" applyBorder="1" applyAlignment="1">
      <alignment horizontal="center"/>
    </xf>
    <xf numFmtId="41" fontId="92" fillId="0" borderId="25" xfId="0" applyNumberFormat="1" applyFont="1" applyBorder="1" applyAlignment="1">
      <alignment horizontal="center"/>
    </xf>
    <xf numFmtId="41" fontId="73" fillId="0" borderId="0" xfId="0" applyNumberFormat="1" applyFont="1" applyAlignment="1">
      <alignment horizontal="center"/>
    </xf>
    <xf numFmtId="41" fontId="73" fillId="0" borderId="17" xfId="0" applyNumberFormat="1" applyFont="1" applyBorder="1" applyAlignment="1">
      <alignment horizontal="center"/>
    </xf>
    <xf numFmtId="0" fontId="75" fillId="0" borderId="0" xfId="0" applyFont="1" applyAlignment="1">
      <alignment horizontal="center"/>
    </xf>
    <xf numFmtId="0" fontId="73" fillId="0" borderId="0" xfId="0" applyFont="1" applyAlignment="1" applyProtection="1">
      <alignment vertical="center" wrapText="1"/>
      <protection hidden="1"/>
    </xf>
    <xf numFmtId="41" fontId="73" fillId="0" borderId="27" xfId="0" applyNumberFormat="1" applyFont="1" applyBorder="1" applyAlignment="1" applyProtection="1">
      <alignment horizontal="right" vertical="center"/>
      <protection hidden="1"/>
    </xf>
    <xf numFmtId="43" fontId="0" fillId="0" borderId="0" xfId="2446" applyFont="1"/>
    <xf numFmtId="0" fontId="4" fillId="0" borderId="0" xfId="0" applyFont="1" applyAlignment="1">
      <alignment horizontal="right"/>
    </xf>
    <xf numFmtId="43" fontId="75" fillId="56" borderId="65" xfId="2446" applyFont="1" applyFill="1" applyBorder="1" applyAlignment="1">
      <alignment horizontal="left" vertical="center"/>
    </xf>
    <xf numFmtId="0" fontId="73" fillId="56" borderId="65" xfId="0" applyFont="1" applyFill="1" applyBorder="1" applyAlignment="1">
      <alignment horizontal="center"/>
    </xf>
    <xf numFmtId="0" fontId="77" fillId="56" borderId="63" xfId="0" applyFont="1" applyFill="1" applyBorder="1"/>
    <xf numFmtId="43" fontId="75" fillId="56" borderId="65" xfId="2446" applyFont="1" applyFill="1" applyBorder="1" applyAlignment="1"/>
    <xf numFmtId="0" fontId="73" fillId="0" borderId="0" xfId="0" applyFont="1" applyAlignment="1">
      <alignment horizontal="right"/>
    </xf>
    <xf numFmtId="0" fontId="77" fillId="0" borderId="104" xfId="0" applyFont="1" applyBorder="1" applyAlignment="1">
      <alignment horizontal="right"/>
    </xf>
    <xf numFmtId="0" fontId="77" fillId="0" borderId="105" xfId="0" applyFont="1" applyBorder="1" applyAlignment="1">
      <alignment horizontal="right"/>
    </xf>
    <xf numFmtId="0" fontId="75" fillId="0" borderId="105" xfId="0" applyFont="1" applyBorder="1" applyAlignment="1">
      <alignment horizontal="right"/>
    </xf>
    <xf numFmtId="0" fontId="77" fillId="0" borderId="107" xfId="0" applyFont="1" applyBorder="1"/>
    <xf numFmtId="0" fontId="77" fillId="0" borderId="65" xfId="0" applyFont="1" applyBorder="1"/>
    <xf numFmtId="0" fontId="77" fillId="0" borderId="111" xfId="0" applyFont="1" applyBorder="1"/>
    <xf numFmtId="0" fontId="75" fillId="0" borderId="103" xfId="0" applyFont="1" applyBorder="1"/>
    <xf numFmtId="43" fontId="75" fillId="0" borderId="109" xfId="2446" applyFont="1" applyBorder="1"/>
    <xf numFmtId="0" fontId="75" fillId="0" borderId="102" xfId="0" applyFont="1" applyBorder="1"/>
    <xf numFmtId="0" fontId="75" fillId="56" borderId="102" xfId="0" applyFont="1" applyFill="1" applyBorder="1" applyAlignment="1">
      <alignment horizontal="center"/>
    </xf>
    <xf numFmtId="43" fontId="0" fillId="0" borderId="0" xfId="0" applyNumberFormat="1"/>
    <xf numFmtId="0" fontId="75" fillId="0" borderId="65" xfId="0" applyFont="1" applyBorder="1" applyAlignment="1">
      <alignment horizontal="center" vertical="center"/>
    </xf>
    <xf numFmtId="0" fontId="73" fillId="28" borderId="66" xfId="0" applyFont="1" applyFill="1" applyBorder="1"/>
    <xf numFmtId="0" fontId="73" fillId="28" borderId="78" xfId="0" applyFont="1" applyFill="1" applyBorder="1"/>
    <xf numFmtId="0" fontId="73" fillId="28" borderId="79" xfId="0" applyFont="1" applyFill="1" applyBorder="1"/>
    <xf numFmtId="0" fontId="73" fillId="28" borderId="49" xfId="0" applyFont="1" applyFill="1" applyBorder="1"/>
    <xf numFmtId="0" fontId="73" fillId="28" borderId="0" xfId="0" applyFont="1" applyFill="1"/>
    <xf numFmtId="0" fontId="73" fillId="28" borderId="50" xfId="0" applyFont="1" applyFill="1" applyBorder="1"/>
    <xf numFmtId="0" fontId="101" fillId="0" borderId="0" xfId="0" applyFont="1"/>
    <xf numFmtId="41" fontId="72" fillId="0" borderId="0" xfId="0" applyNumberFormat="1" applyFont="1" applyAlignment="1">
      <alignment horizontal="center"/>
    </xf>
    <xf numFmtId="0" fontId="95" fillId="0" borderId="11" xfId="0" applyFont="1" applyBorder="1"/>
    <xf numFmtId="0" fontId="95" fillId="0" borderId="0" xfId="0" applyFont="1"/>
    <xf numFmtId="41" fontId="74" fillId="0" borderId="0" xfId="0" applyNumberFormat="1" applyFont="1" applyAlignment="1">
      <alignment horizontal="right"/>
    </xf>
    <xf numFmtId="41" fontId="95" fillId="0" borderId="0" xfId="0" applyNumberFormat="1" applyFont="1"/>
    <xf numFmtId="41" fontId="95" fillId="0" borderId="17" xfId="0" applyNumberFormat="1" applyFont="1" applyBorder="1"/>
    <xf numFmtId="41" fontId="95" fillId="0" borderId="17" xfId="0" applyNumberFormat="1" applyFont="1" applyBorder="1" applyAlignment="1">
      <alignment horizontal="left"/>
    </xf>
    <xf numFmtId="41" fontId="95" fillId="0" borderId="38" xfId="0" applyNumberFormat="1" applyFont="1" applyBorder="1" applyAlignment="1">
      <alignment horizontal="left"/>
    </xf>
    <xf numFmtId="0" fontId="73" fillId="0" borderId="12" xfId="0" applyFont="1" applyBorder="1"/>
    <xf numFmtId="41" fontId="75" fillId="0" borderId="112" xfId="0" applyNumberFormat="1" applyFont="1" applyBorder="1" applyAlignment="1">
      <alignment vertical="center" wrapText="1"/>
    </xf>
    <xf numFmtId="41" fontId="75" fillId="0" borderId="113" xfId="0" applyNumberFormat="1" applyFont="1" applyBorder="1" applyAlignment="1">
      <alignment horizontal="center"/>
    </xf>
    <xf numFmtId="41" fontId="75" fillId="0" borderId="114" xfId="0" applyNumberFormat="1" applyFont="1" applyBorder="1" applyAlignment="1">
      <alignment horizontal="center"/>
    </xf>
    <xf numFmtId="41" fontId="75" fillId="0" borderId="115" xfId="0" applyNumberFormat="1" applyFont="1" applyBorder="1" applyAlignment="1">
      <alignment horizontal="center"/>
    </xf>
    <xf numFmtId="41" fontId="75" fillId="0" borderId="116" xfId="0" applyNumberFormat="1" applyFont="1" applyBorder="1" applyAlignment="1">
      <alignment horizontal="center"/>
    </xf>
    <xf numFmtId="0" fontId="75" fillId="0" borderId="85" xfId="0" applyFont="1" applyBorder="1" applyProtection="1">
      <protection locked="0"/>
    </xf>
    <xf numFmtId="41" fontId="75" fillId="0" borderId="117" xfId="0" applyNumberFormat="1" applyFont="1" applyBorder="1" applyAlignment="1">
      <alignment vertical="center" wrapText="1"/>
    </xf>
    <xf numFmtId="41" fontId="75" fillId="0" borderId="43" xfId="0" applyNumberFormat="1" applyFont="1" applyBorder="1" applyAlignment="1">
      <alignment vertical="center" wrapText="1"/>
    </xf>
    <xf numFmtId="41" fontId="75" fillId="0" borderId="118" xfId="0" applyNumberFormat="1" applyFont="1" applyBorder="1" applyAlignment="1">
      <alignment vertical="center" wrapText="1"/>
    </xf>
    <xf numFmtId="41" fontId="75" fillId="0" borderId="119" xfId="0" applyNumberFormat="1" applyFont="1" applyBorder="1" applyAlignment="1">
      <alignment horizontal="center"/>
    </xf>
    <xf numFmtId="41" fontId="75" fillId="0" borderId="120" xfId="0" applyNumberFormat="1" applyFont="1" applyBorder="1" applyAlignment="1">
      <alignment horizontal="center"/>
    </xf>
    <xf numFmtId="41" fontId="73" fillId="0" borderId="38" xfId="0" applyNumberFormat="1" applyFont="1" applyBorder="1" applyAlignment="1">
      <alignment horizontal="center"/>
    </xf>
    <xf numFmtId="0" fontId="75" fillId="0" borderId="11" xfId="0" applyFont="1" applyBorder="1" applyAlignment="1">
      <alignment vertical="top" wrapText="1"/>
    </xf>
    <xf numFmtId="41" fontId="75" fillId="0" borderId="16" xfId="0" applyNumberFormat="1" applyFont="1" applyBorder="1" applyAlignment="1">
      <alignment horizontal="center" wrapText="1"/>
    </xf>
    <xf numFmtId="41" fontId="73" fillId="0" borderId="12" xfId="0" applyNumberFormat="1" applyFont="1" applyBorder="1" applyAlignment="1">
      <alignment horizontal="center" vertical="center" wrapText="1"/>
    </xf>
    <xf numFmtId="41" fontId="73" fillId="0" borderId="17" xfId="0" applyNumberFormat="1" applyFont="1" applyBorder="1" applyAlignment="1">
      <alignment vertical="center" wrapText="1"/>
    </xf>
    <xf numFmtId="3" fontId="73" fillId="0" borderId="85" xfId="0" applyNumberFormat="1" applyFont="1" applyBorder="1" applyAlignment="1">
      <alignment horizontal="center" wrapText="1"/>
    </xf>
    <xf numFmtId="41" fontId="73" fillId="0" borderId="121" xfId="0" applyNumberFormat="1" applyFont="1" applyBorder="1" applyAlignment="1">
      <alignment vertical="center" wrapText="1"/>
    </xf>
    <xf numFmtId="41" fontId="73" fillId="0" borderId="122" xfId="0" applyNumberFormat="1" applyFont="1" applyBorder="1" applyAlignment="1">
      <alignment vertical="center" wrapText="1"/>
    </xf>
    <xf numFmtId="41" fontId="73" fillId="0" borderId="1" xfId="0" applyNumberFormat="1" applyFont="1" applyBorder="1" applyAlignment="1">
      <alignment vertical="center" wrapText="1"/>
    </xf>
    <xf numFmtId="41" fontId="73" fillId="0" borderId="123" xfId="0" applyNumberFormat="1" applyFont="1" applyBorder="1" applyAlignment="1">
      <alignment vertical="center" wrapText="1"/>
    </xf>
    <xf numFmtId="41" fontId="73" fillId="0" borderId="40" xfId="0" applyNumberFormat="1" applyFont="1" applyBorder="1" applyAlignment="1">
      <alignment vertical="center" wrapText="1"/>
    </xf>
    <xf numFmtId="41" fontId="73" fillId="0" borderId="124" xfId="0" applyNumberFormat="1" applyFont="1" applyBorder="1" applyAlignment="1">
      <alignment vertical="center" wrapText="1"/>
    </xf>
    <xf numFmtId="41" fontId="73" fillId="0" borderId="126" xfId="0" applyNumberFormat="1" applyFont="1" applyBorder="1" applyAlignment="1">
      <alignment vertical="center" wrapText="1"/>
    </xf>
    <xf numFmtId="41" fontId="73" fillId="0" borderId="127" xfId="0" applyNumberFormat="1" applyFont="1" applyBorder="1" applyAlignment="1">
      <alignment vertical="center" wrapText="1"/>
    </xf>
    <xf numFmtId="3" fontId="73" fillId="0" borderId="0" xfId="0" applyNumberFormat="1" applyFont="1" applyAlignment="1">
      <alignment vertical="center" wrapText="1"/>
    </xf>
    <xf numFmtId="41" fontId="73" fillId="0" borderId="28" xfId="0" applyNumberFormat="1" applyFont="1" applyBorder="1" applyAlignment="1">
      <alignment vertical="center" wrapText="1"/>
    </xf>
    <xf numFmtId="41" fontId="91" fillId="0" borderId="121" xfId="0" applyNumberFormat="1" applyFont="1" applyBorder="1" applyAlignment="1">
      <alignment vertical="center" wrapText="1"/>
    </xf>
    <xf numFmtId="41" fontId="91" fillId="0" borderId="34" xfId="0" applyNumberFormat="1" applyFont="1" applyBorder="1" applyAlignment="1">
      <alignment vertical="center" wrapText="1"/>
    </xf>
    <xf numFmtId="41" fontId="91" fillId="0" borderId="1" xfId="0" applyNumberFormat="1" applyFont="1" applyBorder="1" applyAlignment="1">
      <alignment vertical="center" wrapText="1"/>
    </xf>
    <xf numFmtId="41" fontId="91" fillId="0" borderId="123" xfId="0" applyNumberFormat="1" applyFont="1" applyBorder="1" applyAlignment="1">
      <alignment vertical="center" wrapText="1"/>
    </xf>
    <xf numFmtId="41" fontId="91" fillId="0" borderId="40" xfId="0" applyNumberFormat="1" applyFont="1" applyBorder="1" applyAlignment="1">
      <alignment vertical="center" wrapText="1"/>
    </xf>
    <xf numFmtId="41" fontId="91" fillId="0" borderId="124" xfId="0" applyNumberFormat="1" applyFont="1" applyBorder="1" applyAlignment="1">
      <alignment vertical="center" wrapText="1"/>
    </xf>
    <xf numFmtId="41" fontId="73" fillId="0" borderId="128" xfId="0" applyNumberFormat="1" applyFont="1" applyBorder="1" applyAlignment="1">
      <alignment vertical="center" wrapText="1"/>
    </xf>
    <xf numFmtId="41" fontId="73" fillId="0" borderId="80" xfId="0" applyNumberFormat="1" applyFont="1" applyBorder="1" applyAlignment="1">
      <alignment vertical="center" wrapText="1"/>
    </xf>
    <xf numFmtId="41" fontId="73" fillId="0" borderId="129" xfId="0" applyNumberFormat="1" applyFont="1" applyBorder="1" applyAlignment="1">
      <alignment vertical="center" wrapText="1"/>
    </xf>
    <xf numFmtId="41" fontId="73" fillId="0" borderId="130" xfId="0" applyNumberFormat="1" applyFont="1" applyBorder="1" applyAlignment="1">
      <alignment vertical="center" wrapText="1"/>
    </xf>
    <xf numFmtId="41" fontId="73" fillId="0" borderId="81" xfId="0" applyNumberFormat="1" applyFont="1" applyBorder="1" applyAlignment="1">
      <alignment vertical="center" wrapText="1"/>
    </xf>
    <xf numFmtId="41" fontId="92" fillId="0" borderId="131" xfId="0" applyNumberFormat="1" applyFont="1" applyBorder="1" applyAlignment="1">
      <alignment vertical="center" wrapText="1"/>
    </xf>
    <xf numFmtId="41" fontId="92" fillId="0" borderId="132" xfId="0" applyNumberFormat="1" applyFont="1" applyBorder="1" applyAlignment="1">
      <alignment vertical="center" wrapText="1"/>
    </xf>
    <xf numFmtId="41" fontId="92" fillId="0" borderId="133" xfId="0" applyNumberFormat="1" applyFont="1" applyBorder="1" applyAlignment="1">
      <alignment vertical="center" wrapText="1"/>
    </xf>
    <xf numFmtId="41" fontId="92" fillId="0" borderId="134" xfId="0" applyNumberFormat="1" applyFont="1" applyBorder="1" applyAlignment="1">
      <alignment vertical="center" wrapText="1"/>
    </xf>
    <xf numFmtId="41" fontId="92" fillId="0" borderId="135" xfId="0" applyNumberFormat="1" applyFont="1" applyBorder="1" applyAlignment="1">
      <alignment vertical="center" wrapText="1"/>
    </xf>
    <xf numFmtId="41" fontId="92" fillId="0" borderId="136" xfId="0" applyNumberFormat="1" applyFont="1" applyBorder="1" applyAlignment="1">
      <alignment vertical="center" wrapText="1"/>
    </xf>
    <xf numFmtId="41" fontId="92" fillId="0" borderId="137" xfId="0" applyNumberFormat="1" applyFont="1" applyBorder="1" applyAlignment="1">
      <alignment vertical="center" wrapText="1"/>
    </xf>
    <xf numFmtId="3" fontId="73" fillId="0" borderId="0" xfId="0" applyNumberFormat="1" applyFont="1" applyAlignment="1" applyProtection="1">
      <alignment horizontal="center" wrapText="1"/>
      <protection locked="0"/>
    </xf>
    <xf numFmtId="41" fontId="73" fillId="0" borderId="138" xfId="0" applyNumberFormat="1" applyFont="1" applyBorder="1" applyAlignment="1">
      <alignment horizontal="right" vertical="center"/>
    </xf>
    <xf numFmtId="41" fontId="73" fillId="0" borderId="139" xfId="0" applyNumberFormat="1" applyFont="1" applyBorder="1" applyAlignment="1">
      <alignment horizontal="right" vertical="center"/>
    </xf>
    <xf numFmtId="41" fontId="73" fillId="0" borderId="34" xfId="0" applyNumberFormat="1" applyFont="1" applyBorder="1" applyAlignment="1">
      <alignment horizontal="right" vertical="center"/>
    </xf>
    <xf numFmtId="41" fontId="73" fillId="0" borderId="45" xfId="0" applyNumberFormat="1" applyFont="1" applyBorder="1" applyAlignment="1">
      <alignment horizontal="right" vertical="center"/>
    </xf>
    <xf numFmtId="41" fontId="92" fillId="0" borderId="44" xfId="0" applyNumberFormat="1" applyFont="1" applyBorder="1" applyAlignment="1">
      <alignment vertical="center" wrapText="1"/>
    </xf>
    <xf numFmtId="41" fontId="92" fillId="0" borderId="34" xfId="0" applyNumberFormat="1" applyFont="1" applyBorder="1" applyAlignment="1">
      <alignment vertical="center" wrapText="1"/>
    </xf>
    <xf numFmtId="41" fontId="92" fillId="0" borderId="95" xfId="0" applyNumberFormat="1" applyFont="1" applyBorder="1" applyAlignment="1">
      <alignment vertical="center" wrapText="1"/>
    </xf>
    <xf numFmtId="41" fontId="92" fillId="0" borderId="124" xfId="0" applyNumberFormat="1" applyFont="1" applyBorder="1" applyAlignment="1">
      <alignment vertical="center" wrapText="1"/>
    </xf>
    <xf numFmtId="3" fontId="73" fillId="0" borderId="140" xfId="0" applyNumberFormat="1" applyFont="1" applyBorder="1" applyAlignment="1" applyProtection="1">
      <alignment horizontal="center" wrapText="1"/>
      <protection locked="0"/>
    </xf>
    <xf numFmtId="3" fontId="73" fillId="0" borderId="74" xfId="0" applyNumberFormat="1" applyFont="1" applyBorder="1" applyAlignment="1" applyProtection="1">
      <alignment horizontal="center" wrapText="1"/>
      <protection locked="0"/>
    </xf>
    <xf numFmtId="41" fontId="73" fillId="0" borderId="11" xfId="0" applyNumberFormat="1" applyFont="1" applyBorder="1" applyAlignment="1">
      <alignment wrapText="1"/>
    </xf>
    <xf numFmtId="41" fontId="75" fillId="0" borderId="141" xfId="0" applyNumberFormat="1" applyFont="1" applyBorder="1"/>
    <xf numFmtId="41" fontId="73" fillId="0" borderId="48" xfId="0" applyNumberFormat="1" applyFont="1" applyBorder="1" applyAlignment="1">
      <alignment vertical="center" wrapText="1"/>
    </xf>
    <xf numFmtId="41" fontId="73" fillId="0" borderId="15" xfId="0" applyNumberFormat="1" applyFont="1" applyBorder="1" applyAlignment="1">
      <alignment vertical="center" wrapText="1"/>
    </xf>
    <xf numFmtId="41" fontId="73" fillId="0" borderId="14" xfId="0" applyNumberFormat="1" applyFont="1" applyBorder="1" applyAlignment="1">
      <alignment vertical="center" wrapText="1"/>
    </xf>
    <xf numFmtId="41" fontId="73" fillId="0" borderId="142" xfId="0" applyNumberFormat="1" applyFont="1" applyBorder="1" applyAlignment="1">
      <alignment vertical="center" wrapText="1"/>
    </xf>
    <xf numFmtId="41" fontId="73" fillId="0" borderId="116" xfId="0" applyNumberFormat="1" applyFont="1" applyBorder="1" applyAlignment="1">
      <alignment vertical="center" wrapText="1"/>
    </xf>
    <xf numFmtId="41" fontId="92" fillId="0" borderId="56" xfId="0" applyNumberFormat="1" applyFont="1" applyBorder="1"/>
    <xf numFmtId="41" fontId="92" fillId="0" borderId="128" xfId="0" applyNumberFormat="1" applyFont="1" applyBorder="1"/>
    <xf numFmtId="41" fontId="92" fillId="0" borderId="29" xfId="0" applyNumberFormat="1" applyFont="1" applyBorder="1"/>
    <xf numFmtId="41" fontId="92" fillId="0" borderId="32" xfId="0" applyNumberFormat="1" applyFont="1" applyBorder="1"/>
    <xf numFmtId="41" fontId="92" fillId="0" borderId="93" xfId="0" applyNumberFormat="1" applyFont="1" applyBorder="1"/>
    <xf numFmtId="41" fontId="92" fillId="0" borderId="39" xfId="0" applyNumberFormat="1" applyFont="1" applyBorder="1"/>
    <xf numFmtId="41" fontId="92" fillId="0" borderId="116" xfId="0" applyNumberFormat="1" applyFont="1" applyBorder="1"/>
    <xf numFmtId="41" fontId="92" fillId="0" borderId="143" xfId="0" applyNumberFormat="1" applyFont="1" applyBorder="1"/>
    <xf numFmtId="41" fontId="92" fillId="0" borderId="80" xfId="0" applyNumberFormat="1" applyFont="1" applyBorder="1"/>
    <xf numFmtId="41" fontId="73" fillId="0" borderId="21" xfId="0" applyNumberFormat="1" applyFont="1" applyBorder="1"/>
    <xf numFmtId="41" fontId="92" fillId="0" borderId="128" xfId="0" applyNumberFormat="1" applyFont="1" applyBorder="1" applyAlignment="1">
      <alignment horizontal="center"/>
    </xf>
    <xf numFmtId="41" fontId="92" fillId="0" borderId="29" xfId="0" applyNumberFormat="1" applyFont="1" applyBorder="1" applyAlignment="1">
      <alignment horizontal="center"/>
    </xf>
    <xf numFmtId="41" fontId="92" fillId="0" borderId="32" xfId="0" applyNumberFormat="1" applyFont="1" applyBorder="1" applyAlignment="1">
      <alignment horizontal="center"/>
    </xf>
    <xf numFmtId="41" fontId="92" fillId="0" borderId="95" xfId="0" applyNumberFormat="1" applyFont="1" applyBorder="1" applyAlignment="1">
      <alignment horizontal="center"/>
    </xf>
    <xf numFmtId="41" fontId="92" fillId="0" borderId="100" xfId="0" applyNumberFormat="1" applyFont="1" applyBorder="1" applyAlignment="1">
      <alignment horizontal="center"/>
    </xf>
    <xf numFmtId="41" fontId="92" fillId="0" borderId="144" xfId="0" applyNumberFormat="1" applyFont="1" applyBorder="1" applyAlignment="1">
      <alignment horizontal="center"/>
    </xf>
    <xf numFmtId="41" fontId="92" fillId="0" borderId="21" xfId="0" applyNumberFormat="1" applyFont="1" applyBorder="1" applyAlignment="1">
      <alignment horizontal="center"/>
    </xf>
    <xf numFmtId="41" fontId="92" fillId="0" borderId="131" xfId="0" applyNumberFormat="1" applyFont="1" applyBorder="1" applyAlignment="1">
      <alignment horizontal="center"/>
    </xf>
    <xf numFmtId="41" fontId="92" fillId="0" borderId="41" xfId="0" applyNumberFormat="1" applyFont="1" applyBorder="1" applyAlignment="1">
      <alignment horizontal="center"/>
    </xf>
    <xf numFmtId="41" fontId="92" fillId="0" borderId="36" xfId="0" applyNumberFormat="1" applyFont="1" applyBorder="1" applyAlignment="1">
      <alignment horizontal="center"/>
    </xf>
    <xf numFmtId="41" fontId="92" fillId="0" borderId="132" xfId="0" applyNumberFormat="1" applyFont="1" applyBorder="1" applyAlignment="1">
      <alignment horizontal="center"/>
    </xf>
    <xf numFmtId="41" fontId="92" fillId="0" borderId="145" xfId="0" applyNumberFormat="1" applyFont="1" applyBorder="1" applyAlignment="1">
      <alignment horizontal="center"/>
    </xf>
    <xf numFmtId="41" fontId="92" fillId="0" borderId="146" xfId="0" applyNumberFormat="1" applyFont="1" applyBorder="1" applyAlignment="1">
      <alignment horizontal="center"/>
    </xf>
    <xf numFmtId="41" fontId="92" fillId="0" borderId="147" xfId="0" applyNumberFormat="1" applyFont="1" applyBorder="1" applyAlignment="1">
      <alignment horizontal="center"/>
    </xf>
    <xf numFmtId="41" fontId="92" fillId="0" borderId="148" xfId="0" applyNumberFormat="1" applyFont="1" applyBorder="1" applyAlignment="1">
      <alignment horizontal="center"/>
    </xf>
    <xf numFmtId="41" fontId="92" fillId="0" borderId="149" xfId="0" applyNumberFormat="1" applyFont="1" applyBorder="1" applyAlignment="1">
      <alignment horizontal="center"/>
    </xf>
    <xf numFmtId="3" fontId="73" fillId="0" borderId="98" xfId="0" applyNumberFormat="1" applyFont="1" applyBorder="1" applyProtection="1">
      <protection locked="0"/>
    </xf>
    <xf numFmtId="41" fontId="73" fillId="0" borderId="10" xfId="0" applyNumberFormat="1" applyFont="1" applyBorder="1"/>
    <xf numFmtId="0" fontId="73" fillId="55" borderId="0" xfId="2447" applyFont="1" applyFill="1" applyAlignment="1" applyProtection="1">
      <alignment vertical="top" wrapText="1"/>
      <protection hidden="1"/>
    </xf>
    <xf numFmtId="3" fontId="73" fillId="0" borderId="150" xfId="0" applyNumberFormat="1" applyFont="1" applyBorder="1"/>
    <xf numFmtId="0" fontId="93" fillId="0" borderId="72" xfId="0" applyFont="1" applyBorder="1" applyAlignment="1">
      <alignment horizontal="left" vertical="top"/>
    </xf>
    <xf numFmtId="3" fontId="73" fillId="0" borderId="72" xfId="0" applyNumberFormat="1" applyFont="1" applyBorder="1" applyAlignment="1">
      <alignment wrapText="1"/>
    </xf>
    <xf numFmtId="0" fontId="73" fillId="0" borderId="72" xfId="0" applyFont="1" applyBorder="1" applyAlignment="1">
      <alignment horizontal="left" vertical="center"/>
    </xf>
    <xf numFmtId="41" fontId="73" fillId="0" borderId="72" xfId="0" applyNumberFormat="1" applyFont="1" applyBorder="1" applyAlignment="1">
      <alignment horizontal="right" vertical="center"/>
    </xf>
    <xf numFmtId="41" fontId="73" fillId="0" borderId="72" xfId="0" applyNumberFormat="1" applyFont="1" applyBorder="1" applyAlignment="1">
      <alignment vertical="center" wrapText="1"/>
    </xf>
    <xf numFmtId="41" fontId="73" fillId="0" borderId="151" xfId="0" applyNumberFormat="1" applyFont="1" applyBorder="1" applyAlignment="1">
      <alignment vertical="center" wrapText="1"/>
    </xf>
    <xf numFmtId="41" fontId="73" fillId="0" borderId="152" xfId="0" applyNumberFormat="1" applyFont="1" applyBorder="1" applyAlignment="1">
      <alignment vertical="center" wrapText="1"/>
    </xf>
    <xf numFmtId="41" fontId="73" fillId="0" borderId="153" xfId="0" applyNumberFormat="1" applyFont="1" applyBorder="1" applyAlignment="1">
      <alignment vertical="center" wrapText="1"/>
    </xf>
    <xf numFmtId="41" fontId="73" fillId="0" borderId="154" xfId="0" applyNumberFormat="1" applyFont="1" applyBorder="1" applyAlignment="1">
      <alignment vertical="center" wrapText="1"/>
    </xf>
    <xf numFmtId="41" fontId="73" fillId="0" borderId="155" xfId="0" applyNumberFormat="1" applyFont="1" applyBorder="1" applyAlignment="1">
      <alignment vertical="center" wrapText="1"/>
    </xf>
    <xf numFmtId="41" fontId="73" fillId="0" borderId="156" xfId="0" applyNumberFormat="1" applyFont="1" applyBorder="1" applyAlignment="1">
      <alignment vertical="center" wrapText="1"/>
    </xf>
    <xf numFmtId="41" fontId="73" fillId="0" borderId="157" xfId="0" applyNumberFormat="1" applyFont="1" applyBorder="1" applyAlignment="1">
      <alignment vertical="center" wrapText="1"/>
    </xf>
    <xf numFmtId="41" fontId="73" fillId="0" borderId="158" xfId="0" applyNumberFormat="1" applyFont="1" applyBorder="1" applyAlignment="1">
      <alignment vertical="center" wrapText="1"/>
    </xf>
    <xf numFmtId="3" fontId="73" fillId="0" borderId="159" xfId="0" applyNumberFormat="1" applyFont="1" applyBorder="1" applyAlignment="1" applyProtection="1">
      <alignment horizontal="center" wrapText="1"/>
      <protection locked="0"/>
    </xf>
    <xf numFmtId="0" fontId="4" fillId="0" borderId="0" xfId="0" applyFont="1"/>
    <xf numFmtId="0" fontId="73" fillId="0" borderId="0" xfId="0" applyFont="1" applyAlignment="1" applyProtection="1">
      <alignment vertical="top"/>
      <protection hidden="1"/>
    </xf>
    <xf numFmtId="0" fontId="73" fillId="0" borderId="0" xfId="0" applyFont="1" applyAlignment="1" applyProtection="1">
      <alignment horizontal="centerContinuous" vertical="center"/>
      <protection hidden="1"/>
    </xf>
    <xf numFmtId="0" fontId="84" fillId="0" borderId="0" xfId="0" applyFont="1" applyAlignment="1" applyProtection="1">
      <alignment horizontal="center" vertical="top"/>
      <protection hidden="1"/>
    </xf>
    <xf numFmtId="43" fontId="75" fillId="0" borderId="0" xfId="0" applyNumberFormat="1" applyFont="1" applyAlignment="1">
      <alignment horizontal="center" vertical="center"/>
    </xf>
    <xf numFmtId="0" fontId="75" fillId="0" borderId="0" xfId="0" applyFont="1" applyAlignment="1">
      <alignment horizontal="center" vertical="center"/>
    </xf>
    <xf numFmtId="0" fontId="75" fillId="0" borderId="0" xfId="0" applyFont="1" applyProtection="1">
      <protection hidden="1"/>
    </xf>
    <xf numFmtId="0" fontId="73" fillId="0" borderId="0" xfId="0" applyFont="1" applyProtection="1">
      <protection hidden="1"/>
    </xf>
    <xf numFmtId="0" fontId="74" fillId="0" borderId="0" xfId="0" applyFont="1" applyAlignment="1" applyProtection="1">
      <alignment horizontal="centerContinuous" vertical="center"/>
      <protection hidden="1"/>
    </xf>
    <xf numFmtId="0" fontId="73" fillId="0" borderId="65" xfId="0" applyFont="1" applyBorder="1" applyAlignment="1">
      <alignment horizontal="center"/>
    </xf>
    <xf numFmtId="3" fontId="103" fillId="0" borderId="0" xfId="0" applyNumberFormat="1" applyFont="1"/>
    <xf numFmtId="3" fontId="103" fillId="0" borderId="0" xfId="0" applyNumberFormat="1" applyFont="1" applyAlignment="1">
      <alignment vertical="center"/>
    </xf>
    <xf numFmtId="0" fontId="103" fillId="0" borderId="0" xfId="0" applyFont="1"/>
    <xf numFmtId="0" fontId="73" fillId="0" borderId="77" xfId="0" applyFont="1" applyBorder="1" applyAlignment="1">
      <alignment horizontal="center"/>
    </xf>
    <xf numFmtId="0" fontId="73" fillId="0" borderId="102" xfId="0" applyFont="1" applyBorder="1" applyAlignment="1">
      <alignment horizontal="center"/>
    </xf>
    <xf numFmtId="41" fontId="73" fillId="0" borderId="92" xfId="0" applyNumberFormat="1" applyFont="1" applyBorder="1"/>
    <xf numFmtId="0" fontId="77" fillId="0" borderId="0" xfId="0" applyFont="1"/>
    <xf numFmtId="0" fontId="77" fillId="0" borderId="65" xfId="0" applyFont="1" applyBorder="1" applyAlignment="1">
      <alignment horizontal="right"/>
    </xf>
    <xf numFmtId="0" fontId="75" fillId="0" borderId="0" xfId="0" applyFont="1" applyAlignment="1" applyProtection="1">
      <alignment horizontal="left"/>
      <protection hidden="1"/>
    </xf>
    <xf numFmtId="0" fontId="0" fillId="0" borderId="72" xfId="0" applyBorder="1"/>
    <xf numFmtId="0" fontId="75" fillId="0" borderId="160" xfId="0" applyFont="1" applyBorder="1" applyAlignment="1" applyProtection="1">
      <alignment horizontal="left"/>
      <protection hidden="1"/>
    </xf>
    <xf numFmtId="0" fontId="73" fillId="0" borderId="0" xfId="0" applyFont="1" applyAlignment="1">
      <alignment horizontal="left" vertical="center" wrapText="1"/>
    </xf>
    <xf numFmtId="41" fontId="73" fillId="0" borderId="47" xfId="0" applyNumberFormat="1" applyFont="1" applyBorder="1" applyAlignment="1">
      <alignment horizontal="center" wrapText="1"/>
    </xf>
    <xf numFmtId="3" fontId="73" fillId="0" borderId="84" xfId="0" applyNumberFormat="1" applyFont="1" applyBorder="1" applyAlignment="1" applyProtection="1">
      <alignment horizontal="center" wrapText="1"/>
      <protection locked="0"/>
    </xf>
    <xf numFmtId="41" fontId="73" fillId="0" borderId="162" xfId="0" applyNumberFormat="1" applyFont="1" applyBorder="1" applyAlignment="1">
      <alignment wrapText="1"/>
    </xf>
    <xf numFmtId="41" fontId="73" fillId="0" borderId="163" xfId="0" applyNumberFormat="1" applyFont="1" applyBorder="1" applyAlignment="1">
      <alignment horizontal="center" wrapText="1"/>
    </xf>
    <xf numFmtId="41" fontId="73" fillId="0" borderId="164" xfId="0" applyNumberFormat="1" applyFont="1" applyBorder="1" applyAlignment="1">
      <alignment vertical="center" wrapText="1"/>
    </xf>
    <xf numFmtId="41" fontId="73" fillId="0" borderId="165" xfId="0" applyNumberFormat="1" applyFont="1" applyBorder="1" applyAlignment="1">
      <alignment horizontal="center" vertical="center" wrapText="1"/>
    </xf>
    <xf numFmtId="41" fontId="73" fillId="0" borderId="166" xfId="0" applyNumberFormat="1" applyFont="1" applyBorder="1" applyAlignment="1">
      <alignment horizontal="center" vertical="center" wrapText="1"/>
    </xf>
    <xf numFmtId="41" fontId="73" fillId="0" borderId="167" xfId="0" applyNumberFormat="1" applyFont="1" applyBorder="1" applyAlignment="1">
      <alignment horizontal="center" vertical="center" wrapText="1"/>
    </xf>
    <xf numFmtId="0" fontId="74" fillId="0" borderId="88" xfId="0" applyFont="1" applyBorder="1" applyAlignment="1">
      <alignment horizontal="centerContinuous"/>
    </xf>
    <xf numFmtId="41" fontId="73" fillId="0" borderId="89" xfId="0" applyNumberFormat="1" applyFont="1" applyBorder="1"/>
    <xf numFmtId="41" fontId="73" fillId="0" borderId="88" xfId="0" applyNumberFormat="1" applyFont="1" applyBorder="1"/>
    <xf numFmtId="41" fontId="73" fillId="0" borderId="168" xfId="0" applyNumberFormat="1" applyFont="1" applyBorder="1" applyAlignment="1">
      <alignment vertical="center" wrapText="1"/>
    </xf>
    <xf numFmtId="41" fontId="73" fillId="0" borderId="169" xfId="0" applyNumberFormat="1" applyFont="1" applyBorder="1" applyAlignment="1">
      <alignment vertical="center" wrapText="1"/>
    </xf>
    <xf numFmtId="41" fontId="92" fillId="0" borderId="88" xfId="0" applyNumberFormat="1" applyFont="1" applyBorder="1" applyAlignment="1">
      <alignment vertical="center" wrapText="1"/>
    </xf>
    <xf numFmtId="41" fontId="92" fillId="0" borderId="168" xfId="0" applyNumberFormat="1" applyFont="1" applyBorder="1" applyAlignment="1">
      <alignment vertical="center" wrapText="1"/>
    </xf>
    <xf numFmtId="41" fontId="73" fillId="0" borderId="161" xfId="0" applyNumberFormat="1" applyFont="1" applyBorder="1" applyAlignment="1">
      <alignment wrapText="1"/>
    </xf>
    <xf numFmtId="41" fontId="73" fillId="0" borderId="88" xfId="0" applyNumberFormat="1" applyFont="1" applyBorder="1" applyAlignment="1">
      <alignment wrapText="1"/>
    </xf>
    <xf numFmtId="41" fontId="91" fillId="0" borderId="88" xfId="0" applyNumberFormat="1" applyFont="1" applyBorder="1"/>
    <xf numFmtId="41" fontId="92" fillId="0" borderId="88" xfId="0" applyNumberFormat="1" applyFont="1" applyBorder="1"/>
    <xf numFmtId="41" fontId="92" fillId="0" borderId="168" xfId="0" applyNumberFormat="1" applyFont="1" applyBorder="1"/>
    <xf numFmtId="0" fontId="73" fillId="0" borderId="0" xfId="0" applyFont="1" applyAlignment="1">
      <alignment horizontal="centerContinuous"/>
    </xf>
    <xf numFmtId="43" fontId="73" fillId="0" borderId="0" xfId="2446" applyFont="1" applyFill="1" applyProtection="1"/>
    <xf numFmtId="0" fontId="74" fillId="0" borderId="11" xfId="0" applyFont="1" applyBorder="1" applyAlignment="1">
      <alignment horizontal="centerContinuous" vertical="center"/>
    </xf>
    <xf numFmtId="0" fontId="74" fillId="0" borderId="12" xfId="0" applyFont="1" applyBorder="1" applyAlignment="1">
      <alignment horizontal="centerContinuous" vertical="center"/>
    </xf>
    <xf numFmtId="0" fontId="75" fillId="0" borderId="85" xfId="0" applyFont="1" applyBorder="1" applyAlignment="1">
      <alignment horizontal="centerContinuous" vertical="center"/>
    </xf>
    <xf numFmtId="0" fontId="73" fillId="55" borderId="0" xfId="2447" applyFont="1" applyFill="1" applyAlignment="1" applyProtection="1">
      <alignment horizontal="center" vertical="center"/>
      <protection hidden="1"/>
    </xf>
    <xf numFmtId="0" fontId="73" fillId="0" borderId="0" xfId="0" applyFont="1" applyAlignment="1" applyProtection="1">
      <alignment horizontal="center"/>
      <protection locked="0"/>
    </xf>
    <xf numFmtId="0" fontId="73" fillId="0" borderId="170" xfId="0" applyFont="1" applyBorder="1" applyAlignment="1">
      <alignment horizontal="center"/>
    </xf>
    <xf numFmtId="0" fontId="73" fillId="0" borderId="170" xfId="0" applyFont="1" applyBorder="1" applyAlignment="1">
      <alignment horizontal="center" vertical="center"/>
    </xf>
    <xf numFmtId="0" fontId="75" fillId="0" borderId="170" xfId="0" applyFont="1" applyBorder="1" applyAlignment="1">
      <alignment horizontal="center"/>
    </xf>
    <xf numFmtId="0" fontId="75" fillId="0" borderId="170" xfId="0" applyFont="1" applyBorder="1" applyAlignment="1">
      <alignment horizontal="center" vertical="center"/>
    </xf>
    <xf numFmtId="0" fontId="73" fillId="0" borderId="170" xfId="0" applyFont="1" applyBorder="1" applyAlignment="1">
      <alignment horizontal="center" wrapText="1"/>
    </xf>
    <xf numFmtId="0" fontId="104" fillId="62" borderId="68" xfId="0" applyFont="1" applyFill="1" applyBorder="1" applyAlignment="1" applyProtection="1">
      <alignment horizontal="centerContinuous" vertical="top"/>
      <protection hidden="1"/>
    </xf>
    <xf numFmtId="0" fontId="75" fillId="0" borderId="51" xfId="0" applyFont="1" applyBorder="1" applyAlignment="1" applyProtection="1">
      <alignment horizontal="left"/>
      <protection hidden="1"/>
    </xf>
    <xf numFmtId="0" fontId="73" fillId="0" borderId="170" xfId="0" applyFont="1" applyBorder="1" applyAlignment="1">
      <alignment vertical="center"/>
    </xf>
    <xf numFmtId="0" fontId="82" fillId="55" borderId="0" xfId="0" applyFont="1" applyFill="1" applyAlignment="1" applyProtection="1">
      <alignment horizontal="centerContinuous" vertical="top"/>
      <protection hidden="1"/>
    </xf>
    <xf numFmtId="0" fontId="104" fillId="55" borderId="0" xfId="0" applyFont="1" applyFill="1" applyAlignment="1" applyProtection="1">
      <alignment horizontal="centerContinuous" vertical="top"/>
      <protection hidden="1"/>
    </xf>
    <xf numFmtId="0" fontId="81" fillId="55" borderId="0" xfId="0" applyFont="1" applyFill="1" applyAlignment="1">
      <alignment horizontal="centerContinuous"/>
    </xf>
    <xf numFmtId="43" fontId="81" fillId="55" borderId="0" xfId="2446" applyFont="1" applyFill="1" applyBorder="1" applyAlignment="1" applyProtection="1">
      <alignment horizontal="centerContinuous"/>
    </xf>
    <xf numFmtId="0" fontId="82" fillId="62" borderId="53" xfId="0" applyFont="1" applyFill="1" applyBorder="1" applyAlignment="1" applyProtection="1">
      <alignment horizontal="centerContinuous" vertical="center"/>
      <protection hidden="1"/>
    </xf>
    <xf numFmtId="41" fontId="89" fillId="62" borderId="65" xfId="95" applyNumberFormat="1" applyFont="1" applyFill="1" applyBorder="1" applyAlignment="1">
      <alignment horizontal="centerContinuous" vertical="center"/>
    </xf>
    <xf numFmtId="0" fontId="105" fillId="62" borderId="62" xfId="0" applyFont="1" applyFill="1" applyBorder="1" applyAlignment="1" applyProtection="1">
      <alignment horizontal="centerContinuous" vertical="center"/>
      <protection hidden="1"/>
    </xf>
    <xf numFmtId="0" fontId="105" fillId="62" borderId="53" xfId="0" applyFont="1" applyFill="1" applyBorder="1" applyAlignment="1" applyProtection="1">
      <alignment horizontal="centerContinuous" vertical="center"/>
      <protection hidden="1"/>
    </xf>
    <xf numFmtId="0" fontId="82" fillId="62" borderId="63" xfId="0" applyFont="1" applyFill="1" applyBorder="1" applyAlignment="1" applyProtection="1">
      <alignment horizontal="centerContinuous" vertical="center"/>
      <protection hidden="1"/>
    </xf>
    <xf numFmtId="0" fontId="73" fillId="28" borderId="0" xfId="2447" applyFont="1" applyFill="1" applyAlignment="1" applyProtection="1">
      <alignment horizontal="left" vertical="top" indent="1"/>
      <protection hidden="1"/>
    </xf>
    <xf numFmtId="0" fontId="73" fillId="28" borderId="0" xfId="2447" applyFont="1" applyFill="1" applyAlignment="1" applyProtection="1">
      <alignment horizontal="left" vertical="center" indent="1"/>
      <protection hidden="1"/>
    </xf>
    <xf numFmtId="41" fontId="73" fillId="0" borderId="88" xfId="0" applyNumberFormat="1" applyFont="1" applyBorder="1" applyAlignment="1">
      <alignment vertical="center"/>
    </xf>
    <xf numFmtId="41" fontId="73" fillId="0" borderId="0" xfId="0" applyNumberFormat="1" applyFont="1" applyAlignment="1">
      <alignment horizontal="center" vertical="center"/>
    </xf>
    <xf numFmtId="41" fontId="73" fillId="0" borderId="12" xfId="0" applyNumberFormat="1" applyFont="1" applyBorder="1" applyAlignment="1">
      <alignment horizontal="center" vertical="center"/>
    </xf>
    <xf numFmtId="0" fontId="0" fillId="0" borderId="0" xfId="0" applyAlignment="1">
      <alignment vertical="center"/>
    </xf>
    <xf numFmtId="41" fontId="75" fillId="0" borderId="90" xfId="0" applyNumberFormat="1" applyFont="1" applyBorder="1" applyAlignment="1">
      <alignment horizontal="center" wrapText="1"/>
    </xf>
    <xf numFmtId="41" fontId="75" fillId="0" borderId="120" xfId="0" applyNumberFormat="1" applyFont="1" applyBorder="1" applyAlignment="1">
      <alignment horizontal="center" wrapText="1"/>
    </xf>
    <xf numFmtId="41" fontId="91" fillId="0" borderId="27" xfId="0" applyNumberFormat="1" applyFont="1" applyBorder="1" applyAlignment="1">
      <alignment vertical="center" wrapText="1"/>
    </xf>
    <xf numFmtId="41" fontId="75" fillId="54" borderId="17" xfId="0" applyNumberFormat="1" applyFont="1" applyFill="1" applyBorder="1" applyAlignment="1" applyProtection="1">
      <alignment horizontal="center"/>
      <protection locked="0"/>
    </xf>
    <xf numFmtId="41" fontId="73" fillId="0" borderId="29" xfId="0" applyNumberFormat="1" applyFont="1" applyBorder="1"/>
    <xf numFmtId="41" fontId="73" fillId="0" borderId="173" xfId="0" applyNumberFormat="1" applyFont="1" applyBorder="1" applyAlignment="1">
      <alignment vertical="center" wrapText="1"/>
    </xf>
    <xf numFmtId="41" fontId="73" fillId="0" borderId="12" xfId="0" applyNumberFormat="1" applyFont="1" applyBorder="1" applyAlignment="1">
      <alignment horizontal="center" wrapText="1"/>
    </xf>
    <xf numFmtId="41" fontId="92" fillId="0" borderId="12" xfId="0" applyNumberFormat="1" applyFont="1" applyBorder="1" applyAlignment="1">
      <alignment horizontal="center"/>
    </xf>
    <xf numFmtId="41" fontId="92" fillId="0" borderId="174" xfId="0" applyNumberFormat="1" applyFont="1" applyBorder="1" applyAlignment="1">
      <alignment horizontal="center"/>
    </xf>
    <xf numFmtId="0" fontId="73" fillId="0" borderId="160" xfId="0" applyFont="1" applyBorder="1"/>
    <xf numFmtId="3" fontId="73" fillId="0" borderId="0" xfId="0" applyNumberFormat="1" applyFont="1" applyAlignment="1">
      <alignment horizontal="right"/>
    </xf>
    <xf numFmtId="41" fontId="73" fillId="55" borderId="0" xfId="0" applyNumberFormat="1" applyFont="1" applyFill="1" applyAlignment="1" applyProtection="1">
      <alignment horizontal="right" vertical="center"/>
      <protection locked="0"/>
    </xf>
    <xf numFmtId="41" fontId="73" fillId="55" borderId="175" xfId="0" applyNumberFormat="1" applyFont="1" applyFill="1" applyBorder="1" applyAlignment="1">
      <alignment horizontal="right" vertical="center" wrapText="1"/>
    </xf>
    <xf numFmtId="0" fontId="54" fillId="0" borderId="0" xfId="2445" applyFont="1" applyFill="1" applyAlignment="1" applyProtection="1"/>
    <xf numFmtId="0" fontId="73" fillId="0" borderId="0" xfId="0" quotePrefix="1" applyFont="1" applyAlignment="1">
      <alignment horizontal="left" vertical="top" wrapText="1"/>
    </xf>
    <xf numFmtId="0" fontId="73" fillId="0" borderId="171" xfId="0" applyFont="1" applyBorder="1"/>
    <xf numFmtId="0" fontId="54" fillId="0" borderId="176" xfId="2445" applyFont="1" applyFill="1" applyBorder="1" applyAlignment="1" applyProtection="1">
      <alignment horizontal="left" vertical="top"/>
    </xf>
    <xf numFmtId="0" fontId="73" fillId="0" borderId="176" xfId="0" applyFont="1" applyBorder="1" applyAlignment="1">
      <alignment horizontal="left" vertical="top" wrapText="1"/>
    </xf>
    <xf numFmtId="0" fontId="73" fillId="0" borderId="58" xfId="0" applyFont="1" applyBorder="1" applyAlignment="1">
      <alignment wrapText="1"/>
    </xf>
    <xf numFmtId="0" fontId="74" fillId="55" borderId="0" xfId="2447" applyFont="1" applyFill="1" applyAlignment="1" applyProtection="1">
      <alignment horizontal="center" vertical="center" wrapText="1"/>
      <protection hidden="1"/>
    </xf>
    <xf numFmtId="0" fontId="74" fillId="28" borderId="0" xfId="0" applyFont="1" applyFill="1" applyAlignment="1">
      <alignment wrapText="1"/>
    </xf>
    <xf numFmtId="0" fontId="74" fillId="0" borderId="0" xfId="0" applyFont="1" applyAlignment="1">
      <alignment wrapText="1"/>
    </xf>
    <xf numFmtId="0" fontId="100" fillId="55" borderId="50" xfId="0" applyFont="1" applyFill="1" applyBorder="1"/>
    <xf numFmtId="0" fontId="73" fillId="55" borderId="73" xfId="0" applyFont="1" applyFill="1" applyBorder="1" applyAlignment="1">
      <alignment horizontal="left" vertical="top" wrapText="1"/>
    </xf>
    <xf numFmtId="0" fontId="73" fillId="55" borderId="0" xfId="2447" applyFont="1" applyFill="1" applyAlignment="1" applyProtection="1">
      <alignment horizontal="centerContinuous" vertical="top"/>
      <protection hidden="1"/>
    </xf>
    <xf numFmtId="0" fontId="0" fillId="55" borderId="0" xfId="0" applyFill="1" applyAlignment="1">
      <alignment horizontal="centerContinuous"/>
    </xf>
    <xf numFmtId="41" fontId="73" fillId="0" borderId="19" xfId="0" applyNumberFormat="1" applyFont="1" applyBorder="1" applyAlignment="1">
      <alignment horizontal="center"/>
    </xf>
    <xf numFmtId="0" fontId="75" fillId="0" borderId="183" xfId="0" applyFont="1" applyBorder="1"/>
    <xf numFmtId="0" fontId="73" fillId="0" borderId="183" xfId="0" applyFont="1" applyBorder="1"/>
    <xf numFmtId="41" fontId="73" fillId="0" borderId="183" xfId="0" applyNumberFormat="1" applyFont="1" applyBorder="1" applyAlignment="1">
      <alignment horizontal="right"/>
    </xf>
    <xf numFmtId="41" fontId="75" fillId="0" borderId="183" xfId="0" applyNumberFormat="1" applyFont="1" applyBorder="1" applyAlignment="1">
      <alignment horizontal="center"/>
    </xf>
    <xf numFmtId="41" fontId="75" fillId="0" borderId="184" xfId="0" applyNumberFormat="1" applyFont="1" applyBorder="1" applyAlignment="1">
      <alignment horizontal="center"/>
    </xf>
    <xf numFmtId="41" fontId="75" fillId="0" borderId="185" xfId="0" applyNumberFormat="1" applyFont="1" applyBorder="1" applyAlignment="1">
      <alignment vertical="center" wrapText="1"/>
    </xf>
    <xf numFmtId="41" fontId="75" fillId="0" borderId="186" xfId="0" applyNumberFormat="1" applyFont="1" applyBorder="1" applyAlignment="1">
      <alignment vertical="center" wrapText="1"/>
    </xf>
    <xf numFmtId="41" fontId="75" fillId="0" borderId="187" xfId="0" applyNumberFormat="1" applyFont="1" applyBorder="1" applyAlignment="1">
      <alignment horizontal="center"/>
    </xf>
    <xf numFmtId="41" fontId="75" fillId="0" borderId="188" xfId="0" applyNumberFormat="1" applyFont="1" applyBorder="1" applyAlignment="1">
      <alignment horizontal="center"/>
    </xf>
    <xf numFmtId="41" fontId="75" fillId="0" borderId="189" xfId="0" applyNumberFormat="1" applyFont="1" applyBorder="1" applyAlignment="1">
      <alignment horizontal="center"/>
    </xf>
    <xf numFmtId="41" fontId="75" fillId="0" borderId="190" xfId="0" applyNumberFormat="1" applyFont="1" applyBorder="1" applyAlignment="1">
      <alignment horizontal="center"/>
    </xf>
    <xf numFmtId="41" fontId="75" fillId="0" borderId="76" xfId="0" applyNumberFormat="1" applyFont="1" applyBorder="1" applyAlignment="1">
      <alignment horizontal="center"/>
    </xf>
    <xf numFmtId="41" fontId="75" fillId="0" borderId="117" xfId="0" applyNumberFormat="1" applyFont="1" applyBorder="1" applyAlignment="1">
      <alignment horizontal="center"/>
    </xf>
    <xf numFmtId="41" fontId="75" fillId="0" borderId="191" xfId="0" applyNumberFormat="1" applyFont="1" applyBorder="1" applyAlignment="1">
      <alignment horizontal="center"/>
    </xf>
    <xf numFmtId="0" fontId="75" fillId="0" borderId="192" xfId="0" applyFont="1" applyBorder="1"/>
    <xf numFmtId="0" fontId="75" fillId="55" borderId="49" xfId="0" applyFont="1" applyFill="1" applyBorder="1" applyAlignment="1">
      <alignment horizontal="center"/>
    </xf>
    <xf numFmtId="0" fontId="75" fillId="55" borderId="50" xfId="0" applyFont="1" applyFill="1" applyBorder="1" applyAlignment="1">
      <alignment horizontal="center"/>
    </xf>
    <xf numFmtId="165" fontId="73" fillId="0" borderId="27" xfId="0" applyNumberFormat="1" applyFont="1" applyBorder="1" applyAlignment="1" applyProtection="1">
      <alignment horizontal="right" vertical="center"/>
      <protection hidden="1"/>
    </xf>
    <xf numFmtId="41" fontId="73" fillId="0" borderId="94" xfId="0" applyNumberFormat="1" applyFont="1" applyBorder="1" applyAlignment="1" applyProtection="1">
      <alignment horizontal="right" vertical="center" wrapText="1"/>
      <protection hidden="1"/>
    </xf>
    <xf numFmtId="41" fontId="73" fillId="55" borderId="175" xfId="0" applyNumberFormat="1" applyFont="1" applyFill="1" applyBorder="1" applyAlignment="1" applyProtection="1">
      <alignment horizontal="right" vertical="center" wrapText="1"/>
      <protection hidden="1"/>
    </xf>
    <xf numFmtId="165" fontId="91" fillId="0" borderId="27" xfId="0" applyNumberFormat="1" applyFont="1" applyBorder="1" applyAlignment="1" applyProtection="1">
      <alignment horizontal="right" vertical="center"/>
      <protection hidden="1"/>
    </xf>
    <xf numFmtId="165" fontId="73" fillId="0" borderId="0" xfId="0" applyNumberFormat="1" applyFont="1" applyAlignment="1" applyProtection="1">
      <alignment horizontal="right" vertical="center"/>
      <protection hidden="1"/>
    </xf>
    <xf numFmtId="165" fontId="73" fillId="0" borderId="0" xfId="0" applyNumberFormat="1" applyFont="1" applyAlignment="1" applyProtection="1">
      <alignment horizontal="right" wrapText="1"/>
      <protection hidden="1"/>
    </xf>
    <xf numFmtId="165" fontId="73" fillId="0" borderId="0" xfId="0" applyNumberFormat="1" applyFont="1" applyAlignment="1" applyProtection="1">
      <alignment horizontal="right"/>
      <protection hidden="1"/>
    </xf>
    <xf numFmtId="165" fontId="73" fillId="0" borderId="56" xfId="0" applyNumberFormat="1" applyFont="1" applyBorder="1" applyAlignment="1" applyProtection="1">
      <alignment vertical="center" wrapText="1"/>
      <protection hidden="1"/>
    </xf>
    <xf numFmtId="167" fontId="73" fillId="55" borderId="176" xfId="2447" applyNumberFormat="1" applyFont="1" applyFill="1" applyBorder="1" applyAlignment="1">
      <alignment horizontal="center" vertical="top" wrapText="1"/>
    </xf>
    <xf numFmtId="0" fontId="0" fillId="55" borderId="176" xfId="0" applyFill="1" applyBorder="1" applyAlignment="1">
      <alignment horizontal="centerContinuous"/>
    </xf>
    <xf numFmtId="41" fontId="75" fillId="55" borderId="176" xfId="95" applyNumberFormat="1" applyFont="1" applyFill="1" applyBorder="1" applyAlignment="1">
      <alignment horizontal="centerContinuous" vertical="center"/>
    </xf>
    <xf numFmtId="0" fontId="82" fillId="62" borderId="178" xfId="2447" applyFont="1" applyFill="1" applyBorder="1" applyAlignment="1" applyProtection="1">
      <alignment horizontal="centerContinuous" vertical="top" wrapText="1"/>
      <protection hidden="1"/>
    </xf>
    <xf numFmtId="41" fontId="75" fillId="55" borderId="176" xfId="95" applyNumberFormat="1" applyFont="1" applyFill="1" applyBorder="1" applyAlignment="1">
      <alignment horizontal="center" vertical="center"/>
    </xf>
    <xf numFmtId="167" fontId="73" fillId="55" borderId="176" xfId="2447" applyNumberFormat="1" applyFont="1" applyFill="1" applyBorder="1" applyAlignment="1">
      <alignment horizontal="center" vertical="center" wrapText="1"/>
    </xf>
    <xf numFmtId="0" fontId="75" fillId="55" borderId="0" xfId="0" applyFont="1" applyFill="1" applyAlignment="1">
      <alignment horizontal="centerContinuous" vertical="center" wrapText="1"/>
    </xf>
    <xf numFmtId="0" fontId="74" fillId="55" borderId="50" xfId="0" applyFont="1" applyFill="1" applyBorder="1" applyAlignment="1">
      <alignment horizontal="centerContinuous" vertical="center" wrapText="1"/>
    </xf>
    <xf numFmtId="0" fontId="75" fillId="55" borderId="49" xfId="0" applyFont="1" applyFill="1" applyBorder="1" applyAlignment="1">
      <alignment horizontal="centerContinuous" vertical="center"/>
    </xf>
    <xf numFmtId="0" fontId="75" fillId="55" borderId="0" xfId="0" applyFont="1" applyFill="1" applyAlignment="1">
      <alignment horizontal="centerContinuous" vertical="center"/>
    </xf>
    <xf numFmtId="0" fontId="75" fillId="55" borderId="50" xfId="0" applyFont="1" applyFill="1" applyBorder="1" applyAlignment="1">
      <alignment horizontal="centerContinuous" vertical="center"/>
    </xf>
    <xf numFmtId="0" fontId="54" fillId="0" borderId="58" xfId="2445" applyFont="1" applyFill="1" applyBorder="1" applyAlignment="1" applyProtection="1">
      <alignment horizontal="left"/>
    </xf>
    <xf numFmtId="0" fontId="75" fillId="55" borderId="0" xfId="45" applyFont="1" applyFill="1"/>
    <xf numFmtId="0" fontId="75" fillId="55" borderId="176" xfId="45" applyFont="1" applyFill="1" applyBorder="1" applyAlignment="1">
      <alignment horizontal="center" wrapText="1"/>
    </xf>
    <xf numFmtId="43" fontId="0" fillId="0" borderId="198" xfId="2446" applyFont="1" applyBorder="1"/>
    <xf numFmtId="0" fontId="0" fillId="0" borderId="198" xfId="0" applyBorder="1"/>
    <xf numFmtId="0" fontId="77" fillId="0" borderId="65" xfId="0" applyFont="1" applyBorder="1" applyAlignment="1">
      <alignment horizontal="center"/>
    </xf>
    <xf numFmtId="41" fontId="91" fillId="29" borderId="219" xfId="1134" applyNumberFormat="1" applyFont="1" applyFill="1" applyBorder="1" applyAlignment="1" applyProtection="1">
      <alignment vertical="center" wrapText="1"/>
      <protection locked="0"/>
    </xf>
    <xf numFmtId="43" fontId="73" fillId="29" borderId="205" xfId="1134" applyNumberFormat="1" applyFont="1" applyFill="1" applyBorder="1" applyAlignment="1" applyProtection="1">
      <alignment vertical="center" wrapText="1"/>
      <protection locked="0"/>
    </xf>
    <xf numFmtId="41" fontId="73" fillId="29" borderId="204" xfId="1134" applyNumberFormat="1" applyFont="1" applyFill="1" applyBorder="1" applyAlignment="1" applyProtection="1">
      <alignment vertical="center" wrapText="1"/>
      <protection locked="0"/>
    </xf>
    <xf numFmtId="41" fontId="91" fillId="29" borderId="205" xfId="1134" applyNumberFormat="1" applyFont="1" applyFill="1" applyBorder="1" applyAlignment="1" applyProtection="1">
      <alignment vertical="center" wrapText="1"/>
      <protection locked="0"/>
    </xf>
    <xf numFmtId="41" fontId="73" fillId="29" borderId="205" xfId="1134" applyNumberFormat="1" applyFont="1" applyFill="1" applyBorder="1" applyAlignment="1" applyProtection="1">
      <alignment vertical="center" wrapText="1"/>
      <protection locked="0"/>
    </xf>
    <xf numFmtId="41" fontId="73" fillId="29" borderId="219" xfId="1134" applyNumberFormat="1" applyFont="1" applyFill="1" applyBorder="1" applyAlignment="1" applyProtection="1">
      <alignment vertical="center" wrapText="1"/>
      <protection locked="0"/>
    </xf>
    <xf numFmtId="167" fontId="73" fillId="54" borderId="176" xfId="2447" applyNumberFormat="1" applyFont="1" applyFill="1" applyBorder="1" applyAlignment="1" applyProtection="1">
      <alignment horizontal="center" vertical="top" wrapText="1"/>
      <protection locked="0"/>
    </xf>
    <xf numFmtId="41" fontId="73" fillId="0" borderId="221" xfId="0" applyNumberFormat="1" applyFont="1" applyBorder="1" applyAlignment="1">
      <alignment horizontal="right" vertical="center"/>
    </xf>
    <xf numFmtId="172" fontId="73" fillId="0" borderId="0" xfId="0" applyNumberFormat="1" applyFont="1"/>
    <xf numFmtId="0" fontId="73" fillId="0" borderId="0" xfId="0" applyFont="1" applyAlignment="1">
      <alignment vertical="top" wrapText="1"/>
    </xf>
    <xf numFmtId="0" fontId="73" fillId="0" borderId="17" xfId="0" applyFont="1" applyBorder="1" applyAlignment="1">
      <alignment vertical="top" wrapText="1"/>
    </xf>
    <xf numFmtId="0" fontId="73" fillId="0" borderId="203" xfId="0" applyFont="1" applyBorder="1"/>
    <xf numFmtId="0" fontId="4" fillId="0" borderId="58" xfId="2445" applyFont="1" applyFill="1" applyBorder="1" applyAlignment="1" applyProtection="1">
      <alignment wrapText="1"/>
    </xf>
    <xf numFmtId="0" fontId="79" fillId="0" borderId="176" xfId="2445" applyFill="1" applyBorder="1" applyAlignment="1" applyProtection="1">
      <alignment horizontal="left" vertical="top"/>
    </xf>
    <xf numFmtId="0" fontId="79" fillId="0" borderId="220" xfId="2445" applyBorder="1" applyAlignment="1" applyProtection="1"/>
    <xf numFmtId="41" fontId="73" fillId="0" borderId="16" xfId="0" applyNumberFormat="1" applyFont="1" applyBorder="1" applyAlignment="1">
      <alignment horizontal="center"/>
    </xf>
    <xf numFmtId="0" fontId="73" fillId="0" borderId="38" xfId="0" applyFont="1" applyBorder="1"/>
    <xf numFmtId="41" fontId="73" fillId="0" borderId="183" xfId="0" applyNumberFormat="1" applyFont="1" applyBorder="1" applyAlignment="1">
      <alignment horizontal="center" wrapText="1"/>
    </xf>
    <xf numFmtId="41" fontId="73" fillId="0" borderId="192" xfId="0" applyNumberFormat="1" applyFont="1" applyBorder="1" applyAlignment="1">
      <alignment horizontal="center" wrapText="1"/>
    </xf>
    <xf numFmtId="41" fontId="73" fillId="0" borderId="141" xfId="0" applyNumberFormat="1" applyFont="1" applyBorder="1" applyAlignment="1">
      <alignment vertical="center" wrapText="1"/>
    </xf>
    <xf numFmtId="0" fontId="0" fillId="0" borderId="11" xfId="0" applyBorder="1"/>
    <xf numFmtId="0" fontId="0" fillId="0" borderId="75" xfId="0" applyBorder="1"/>
    <xf numFmtId="0" fontId="0" fillId="0" borderId="85" xfId="0" applyBorder="1" applyAlignment="1">
      <alignment horizontal="centerContinuous"/>
    </xf>
    <xf numFmtId="0" fontId="0" fillId="0" borderId="37" xfId="0" applyBorder="1"/>
    <xf numFmtId="0" fontId="74" fillId="0" borderId="10" xfId="0" applyFont="1" applyBorder="1" applyAlignment="1">
      <alignment horizontal="centerContinuous"/>
    </xf>
    <xf numFmtId="0" fontId="74" fillId="0" borderId="161" xfId="0" applyFont="1" applyBorder="1" applyAlignment="1">
      <alignment horizontal="centerContinuous"/>
    </xf>
    <xf numFmtId="0" fontId="74" fillId="0" borderId="47" xfId="0" applyFont="1" applyBorder="1" applyAlignment="1">
      <alignment horizontal="centerContinuous"/>
    </xf>
    <xf numFmtId="0" fontId="75" fillId="0" borderId="222" xfId="0" applyFont="1" applyBorder="1" applyAlignment="1">
      <alignment horizontal="centerContinuous"/>
    </xf>
    <xf numFmtId="0" fontId="73" fillId="0" borderId="16" xfId="0" applyFont="1" applyBorder="1"/>
    <xf numFmtId="41" fontId="75" fillId="0" borderId="223" xfId="0" applyNumberFormat="1" applyFont="1" applyBorder="1" applyAlignment="1">
      <alignment horizontal="center"/>
    </xf>
    <xf numFmtId="41" fontId="75" fillId="0" borderId="223" xfId="0" applyNumberFormat="1" applyFont="1" applyBorder="1" applyAlignment="1">
      <alignment vertical="center" wrapText="1"/>
    </xf>
    <xf numFmtId="41" fontId="75" fillId="0" borderId="224" xfId="0" applyNumberFormat="1" applyFont="1" applyBorder="1" applyAlignment="1">
      <alignment vertical="center" wrapText="1"/>
    </xf>
    <xf numFmtId="0" fontId="73" fillId="0" borderId="192" xfId="0" applyFont="1" applyBorder="1"/>
    <xf numFmtId="0" fontId="75" fillId="0" borderId="183" xfId="0" applyFont="1" applyBorder="1" applyAlignment="1">
      <alignment horizontal="left" wrapText="1"/>
    </xf>
    <xf numFmtId="41" fontId="75" fillId="0" borderId="183" xfId="0" applyNumberFormat="1" applyFont="1" applyBorder="1" applyAlignment="1">
      <alignment horizontal="right" wrapText="1"/>
    </xf>
    <xf numFmtId="41" fontId="73" fillId="0" borderId="223" xfId="0" applyNumberFormat="1" applyFont="1" applyBorder="1" applyAlignment="1">
      <alignment horizontal="center" wrapText="1"/>
    </xf>
    <xf numFmtId="41" fontId="73" fillId="0" borderId="224" xfId="0" applyNumberFormat="1" applyFont="1" applyBorder="1" applyAlignment="1">
      <alignment horizontal="center" wrapText="1"/>
    </xf>
    <xf numFmtId="41" fontId="73" fillId="0" borderId="225" xfId="0" applyNumberFormat="1" applyFont="1" applyBorder="1" applyAlignment="1" applyProtection="1">
      <alignment horizontal="right" vertical="center"/>
      <protection hidden="1"/>
    </xf>
    <xf numFmtId="41" fontId="73" fillId="0" borderId="205" xfId="0" applyNumberFormat="1" applyFont="1" applyBorder="1" applyAlignment="1">
      <alignment vertical="center" wrapText="1"/>
    </xf>
    <xf numFmtId="41" fontId="73" fillId="0" borderId="225" xfId="0" applyNumberFormat="1" applyFont="1" applyBorder="1" applyAlignment="1">
      <alignment vertical="center" wrapText="1"/>
    </xf>
    <xf numFmtId="41" fontId="73" fillId="0" borderId="226" xfId="0" applyNumberFormat="1" applyFont="1" applyBorder="1" applyAlignment="1">
      <alignment vertical="center" wrapText="1"/>
    </xf>
    <xf numFmtId="41" fontId="73" fillId="0" borderId="227" xfId="0" applyNumberFormat="1" applyFont="1" applyBorder="1" applyAlignment="1">
      <alignment vertical="center" wrapText="1"/>
    </xf>
    <xf numFmtId="41" fontId="73" fillId="0" borderId="228" xfId="0" applyNumberFormat="1" applyFont="1" applyBorder="1" applyAlignment="1">
      <alignment vertical="center" wrapText="1"/>
    </xf>
    <xf numFmtId="41" fontId="73" fillId="0" borderId="229" xfId="0" applyNumberFormat="1" applyFont="1" applyBorder="1" applyAlignment="1">
      <alignment vertical="center" wrapText="1"/>
    </xf>
    <xf numFmtId="41" fontId="73" fillId="0" borderId="230" xfId="0" applyNumberFormat="1" applyFont="1" applyBorder="1" applyAlignment="1">
      <alignment vertical="center" wrapText="1"/>
    </xf>
    <xf numFmtId="41" fontId="73" fillId="0" borderId="231" xfId="0" applyNumberFormat="1" applyFont="1" applyBorder="1" applyAlignment="1">
      <alignment vertical="center" wrapText="1"/>
    </xf>
    <xf numFmtId="41" fontId="73" fillId="29" borderId="219" xfId="0" applyNumberFormat="1" applyFont="1" applyFill="1" applyBorder="1" applyAlignment="1" applyProtection="1">
      <alignment vertical="center" wrapText="1"/>
      <protection locked="0"/>
    </xf>
    <xf numFmtId="41" fontId="73" fillId="0" borderId="232" xfId="0" applyNumberFormat="1" applyFont="1" applyBorder="1" applyAlignment="1">
      <alignment horizontal="right" vertical="center" wrapText="1"/>
    </xf>
    <xf numFmtId="41" fontId="73" fillId="0" borderId="233" xfId="0" applyNumberFormat="1" applyFont="1" applyBorder="1" applyAlignment="1">
      <alignment vertical="center" wrapText="1"/>
    </xf>
    <xf numFmtId="41" fontId="73" fillId="0" borderId="234" xfId="0" applyNumberFormat="1" applyFont="1" applyBorder="1" applyAlignment="1">
      <alignment vertical="center" wrapText="1"/>
    </xf>
    <xf numFmtId="41" fontId="73" fillId="0" borderId="235" xfId="0" applyNumberFormat="1" applyFont="1" applyBorder="1" applyAlignment="1">
      <alignment vertical="center" wrapText="1"/>
    </xf>
    <xf numFmtId="41" fontId="73" fillId="29" borderId="205" xfId="0" applyNumberFormat="1" applyFont="1" applyFill="1" applyBorder="1" applyAlignment="1" applyProtection="1">
      <alignment vertical="center" wrapText="1"/>
      <protection locked="0"/>
    </xf>
    <xf numFmtId="41" fontId="73" fillId="29" borderId="225" xfId="0" applyNumberFormat="1" applyFont="1" applyFill="1" applyBorder="1" applyAlignment="1" applyProtection="1">
      <alignment vertical="center" wrapText="1"/>
      <protection locked="0"/>
    </xf>
    <xf numFmtId="41" fontId="73" fillId="29" borderId="204" xfId="0" applyNumberFormat="1" applyFont="1" applyFill="1" applyBorder="1" applyAlignment="1" applyProtection="1">
      <alignment vertical="center" wrapText="1"/>
      <protection locked="0"/>
    </xf>
    <xf numFmtId="41" fontId="73" fillId="29" borderId="233" xfId="0" applyNumberFormat="1" applyFont="1" applyFill="1" applyBorder="1" applyAlignment="1" applyProtection="1">
      <alignment vertical="center" wrapText="1"/>
      <protection locked="0"/>
    </xf>
    <xf numFmtId="41" fontId="73" fillId="0" borderId="219" xfId="0" applyNumberFormat="1" applyFont="1" applyBorder="1" applyAlignment="1">
      <alignment vertical="center" wrapText="1"/>
    </xf>
    <xf numFmtId="41" fontId="73" fillId="0" borderId="236" xfId="0" applyNumberFormat="1" applyFont="1" applyBorder="1" applyAlignment="1">
      <alignment vertical="center" wrapText="1"/>
    </xf>
    <xf numFmtId="41" fontId="91" fillId="29" borderId="219" xfId="0" applyNumberFormat="1" applyFont="1" applyFill="1" applyBorder="1" applyAlignment="1" applyProtection="1">
      <alignment vertical="center" wrapText="1"/>
      <protection locked="0"/>
    </xf>
    <xf numFmtId="41" fontId="91" fillId="29" borderId="205" xfId="0" applyNumberFormat="1" applyFont="1" applyFill="1" applyBorder="1" applyAlignment="1" applyProtection="1">
      <alignment vertical="center" wrapText="1"/>
      <protection locked="0"/>
    </xf>
    <xf numFmtId="41" fontId="91" fillId="29" borderId="225" xfId="0" applyNumberFormat="1" applyFont="1" applyFill="1" applyBorder="1" applyAlignment="1" applyProtection="1">
      <alignment vertical="center" wrapText="1"/>
      <protection locked="0"/>
    </xf>
    <xf numFmtId="41" fontId="91" fillId="0" borderId="226" xfId="0" applyNumberFormat="1" applyFont="1" applyBorder="1" applyAlignment="1">
      <alignment vertical="center" wrapText="1"/>
    </xf>
    <xf numFmtId="41" fontId="91" fillId="29" borderId="204" xfId="0" applyNumberFormat="1" applyFont="1" applyFill="1" applyBorder="1" applyAlignment="1" applyProtection="1">
      <alignment vertical="center" wrapText="1"/>
      <protection locked="0"/>
    </xf>
    <xf numFmtId="41" fontId="91" fillId="29" borderId="233" xfId="0" applyNumberFormat="1" applyFont="1" applyFill="1" applyBorder="1" applyAlignment="1" applyProtection="1">
      <alignment vertical="center" wrapText="1"/>
      <protection locked="0"/>
    </xf>
    <xf numFmtId="41" fontId="91" fillId="0" borderId="227" xfId="0" applyNumberFormat="1" applyFont="1" applyBorder="1" applyAlignment="1">
      <alignment vertical="center" wrapText="1"/>
    </xf>
    <xf numFmtId="41" fontId="91" fillId="0" borderId="228" xfId="0" applyNumberFormat="1" applyFont="1" applyBorder="1" applyAlignment="1">
      <alignment vertical="center" wrapText="1"/>
    </xf>
    <xf numFmtId="41" fontId="91" fillId="0" borderId="229" xfId="0" applyNumberFormat="1" applyFont="1" applyBorder="1" applyAlignment="1">
      <alignment vertical="center" wrapText="1"/>
    </xf>
    <xf numFmtId="41" fontId="91" fillId="0" borderId="230" xfId="0" applyNumberFormat="1" applyFont="1" applyBorder="1" applyAlignment="1">
      <alignment vertical="center" wrapText="1"/>
    </xf>
    <xf numFmtId="41" fontId="91" fillId="0" borderId="231" xfId="0" applyNumberFormat="1" applyFont="1" applyBorder="1" applyAlignment="1">
      <alignment vertical="center" wrapText="1"/>
    </xf>
    <xf numFmtId="41" fontId="73" fillId="0" borderId="237" xfId="0" applyNumberFormat="1" applyFont="1" applyBorder="1" applyAlignment="1">
      <alignment vertical="center" wrapText="1"/>
    </xf>
    <xf numFmtId="41" fontId="73" fillId="0" borderId="186" xfId="0" applyNumberFormat="1" applyFont="1" applyBorder="1" applyAlignment="1">
      <alignment vertical="center" wrapText="1"/>
    </xf>
    <xf numFmtId="41" fontId="73" fillId="0" borderId="238" xfId="0" applyNumberFormat="1" applyFont="1" applyBorder="1" applyAlignment="1">
      <alignment vertical="center" wrapText="1"/>
    </xf>
    <xf numFmtId="41" fontId="73" fillId="0" borderId="239" xfId="0" applyNumberFormat="1" applyFont="1" applyBorder="1" applyAlignment="1">
      <alignment vertical="center" wrapText="1"/>
    </xf>
    <xf numFmtId="41" fontId="92" fillId="0" borderId="240" xfId="0" applyNumberFormat="1" applyFont="1" applyBorder="1" applyAlignment="1">
      <alignment vertical="center" wrapText="1"/>
    </xf>
    <xf numFmtId="41" fontId="92" fillId="0" borderId="241" xfId="0" applyNumberFormat="1" applyFont="1" applyBorder="1" applyAlignment="1">
      <alignment vertical="center" wrapText="1"/>
    </xf>
    <xf numFmtId="41" fontId="92" fillId="0" borderId="242" xfId="0" applyNumberFormat="1" applyFont="1" applyBorder="1" applyAlignment="1">
      <alignment vertical="center" wrapText="1"/>
    </xf>
    <xf numFmtId="41" fontId="92" fillId="0" borderId="243" xfId="0" applyNumberFormat="1" applyFont="1" applyBorder="1" applyAlignment="1">
      <alignment vertical="center" wrapText="1"/>
    </xf>
    <xf numFmtId="41" fontId="92" fillId="0" borderId="244" xfId="0" applyNumberFormat="1" applyFont="1" applyBorder="1" applyAlignment="1">
      <alignment vertical="center" wrapText="1"/>
    </xf>
    <xf numFmtId="41" fontId="92" fillId="0" borderId="245" xfId="0" applyNumberFormat="1" applyFont="1" applyBorder="1" applyAlignment="1">
      <alignment vertical="center" wrapText="1"/>
    </xf>
    <xf numFmtId="41" fontId="92" fillId="0" borderId="246" xfId="0" applyNumberFormat="1" applyFont="1" applyBorder="1" applyAlignment="1">
      <alignment vertical="center" wrapText="1"/>
    </xf>
    <xf numFmtId="41" fontId="92" fillId="0" borderId="247" xfId="0" applyNumberFormat="1" applyFont="1" applyBorder="1" applyAlignment="1">
      <alignment vertical="center" wrapText="1"/>
    </xf>
    <xf numFmtId="41" fontId="92" fillId="0" borderId="237" xfId="0" applyNumberFormat="1" applyFont="1" applyBorder="1" applyAlignment="1">
      <alignment vertical="center" wrapText="1"/>
    </xf>
    <xf numFmtId="41" fontId="92" fillId="0" borderId="248" xfId="0" applyNumberFormat="1" applyFont="1" applyBorder="1" applyAlignment="1">
      <alignment vertical="center" wrapText="1"/>
    </xf>
    <xf numFmtId="41" fontId="92" fillId="0" borderId="249" xfId="0" applyNumberFormat="1" applyFont="1" applyBorder="1" applyAlignment="1">
      <alignment vertical="center" wrapText="1"/>
    </xf>
    <xf numFmtId="165" fontId="73" fillId="0" borderId="225" xfId="0" applyNumberFormat="1" applyFont="1" applyBorder="1" applyAlignment="1" applyProtection="1">
      <alignment horizontal="right" vertical="center"/>
      <protection hidden="1"/>
    </xf>
    <xf numFmtId="41" fontId="73" fillId="29" borderId="230" xfId="0" applyNumberFormat="1" applyFont="1" applyFill="1" applyBorder="1" applyAlignment="1" applyProtection="1">
      <alignment vertical="center" wrapText="1"/>
      <protection locked="0"/>
    </xf>
    <xf numFmtId="41" fontId="73" fillId="0" borderId="221" xfId="0" applyNumberFormat="1" applyFont="1" applyBorder="1" applyAlignment="1">
      <alignment vertical="center" wrapText="1"/>
    </xf>
    <xf numFmtId="41" fontId="73" fillId="0" borderId="250" xfId="0" applyNumberFormat="1" applyFont="1" applyBorder="1" applyAlignment="1">
      <alignment vertical="center" wrapText="1"/>
    </xf>
    <xf numFmtId="165" fontId="91" fillId="0" borderId="225" xfId="0" applyNumberFormat="1" applyFont="1" applyBorder="1" applyAlignment="1" applyProtection="1">
      <alignment horizontal="right" vertical="center"/>
      <protection hidden="1"/>
    </xf>
    <xf numFmtId="41" fontId="91" fillId="0" borderId="250" xfId="0" applyNumberFormat="1" applyFont="1" applyBorder="1" applyAlignment="1">
      <alignment vertical="center" wrapText="1"/>
    </xf>
    <xf numFmtId="41" fontId="73" fillId="0" borderId="230" xfId="0" applyNumberFormat="1" applyFont="1" applyBorder="1" applyAlignment="1">
      <alignment horizontal="right" vertical="center"/>
    </xf>
    <xf numFmtId="41" fontId="73" fillId="0" borderId="225" xfId="0" applyNumberFormat="1" applyFont="1" applyBorder="1" applyAlignment="1">
      <alignment horizontal="right" vertical="center"/>
    </xf>
    <xf numFmtId="41" fontId="73" fillId="0" borderId="250" xfId="0" applyNumberFormat="1" applyFont="1" applyBorder="1" applyAlignment="1">
      <alignment horizontal="right" vertical="center"/>
    </xf>
    <xf numFmtId="41" fontId="73" fillId="0" borderId="227" xfId="0" applyNumberFormat="1" applyFont="1" applyBorder="1" applyAlignment="1">
      <alignment horizontal="right" vertical="center"/>
    </xf>
    <xf numFmtId="41" fontId="73" fillId="0" borderId="228" xfId="0" applyNumberFormat="1" applyFont="1" applyBorder="1" applyAlignment="1">
      <alignment horizontal="right" vertical="center"/>
    </xf>
    <xf numFmtId="41" fontId="73" fillId="0" borderId="226" xfId="0" applyNumberFormat="1" applyFont="1" applyBorder="1" applyAlignment="1">
      <alignment horizontal="right" vertical="center"/>
    </xf>
    <xf numFmtId="41" fontId="73" fillId="0" borderId="231" xfId="0" applyNumberFormat="1" applyFont="1" applyBorder="1" applyAlignment="1">
      <alignment horizontal="right" vertical="center"/>
    </xf>
    <xf numFmtId="41" fontId="73" fillId="0" borderId="219" xfId="0" applyNumberFormat="1" applyFont="1" applyBorder="1" applyAlignment="1">
      <alignment horizontal="right" vertical="center"/>
    </xf>
    <xf numFmtId="41" fontId="73" fillId="0" borderId="205" xfId="0" applyNumberFormat="1" applyFont="1" applyBorder="1" applyAlignment="1">
      <alignment horizontal="right" vertical="center"/>
    </xf>
    <xf numFmtId="41" fontId="92" fillId="0" borderId="219" xfId="0" applyNumberFormat="1" applyFont="1" applyBorder="1" applyAlignment="1">
      <alignment vertical="center" wrapText="1"/>
    </xf>
    <xf numFmtId="41" fontId="92" fillId="0" borderId="251" xfId="0" applyNumberFormat="1" applyFont="1" applyBorder="1" applyAlignment="1">
      <alignment vertical="center" wrapText="1"/>
    </xf>
    <xf numFmtId="41" fontId="92" fillId="0" borderId="252" xfId="0" applyNumberFormat="1" applyFont="1" applyBorder="1" applyAlignment="1">
      <alignment vertical="center" wrapText="1"/>
    </xf>
    <xf numFmtId="41" fontId="92" fillId="0" borderId="253" xfId="0" applyNumberFormat="1" applyFont="1" applyBorder="1" applyAlignment="1">
      <alignment vertical="center" wrapText="1"/>
    </xf>
    <xf numFmtId="41" fontId="92" fillId="0" borderId="254" xfId="0" applyNumberFormat="1" applyFont="1" applyBorder="1" applyAlignment="1">
      <alignment vertical="center" wrapText="1"/>
    </xf>
    <xf numFmtId="41" fontId="92" fillId="0" borderId="255" xfId="0" applyNumberFormat="1" applyFont="1" applyBorder="1" applyAlignment="1">
      <alignment vertical="center" wrapText="1"/>
    </xf>
    <xf numFmtId="41" fontId="73" fillId="0" borderId="256" xfId="0" applyNumberFormat="1" applyFont="1" applyBorder="1" applyAlignment="1">
      <alignment vertical="center"/>
    </xf>
    <xf numFmtId="41" fontId="73" fillId="0" borderId="230" xfId="0" applyNumberFormat="1" applyFont="1" applyBorder="1" applyAlignment="1">
      <alignment vertical="center"/>
    </xf>
    <xf numFmtId="41" fontId="73" fillId="0" borderId="205" xfId="0" applyNumberFormat="1" applyFont="1" applyBorder="1" applyAlignment="1">
      <alignment vertical="center"/>
    </xf>
    <xf numFmtId="41" fontId="73" fillId="0" borderId="256" xfId="0" applyNumberFormat="1" applyFont="1" applyBorder="1"/>
    <xf numFmtId="41" fontId="73" fillId="0" borderId="230" xfId="0" applyNumberFormat="1" applyFont="1" applyBorder="1"/>
    <xf numFmtId="41" fontId="73" fillId="0" borderId="205" xfId="0" applyNumberFormat="1" applyFont="1" applyBorder="1"/>
    <xf numFmtId="41" fontId="92" fillId="0" borderId="256" xfId="0" applyNumberFormat="1" applyFont="1" applyBorder="1"/>
    <xf numFmtId="41" fontId="92" fillId="0" borderId="205" xfId="0" applyNumberFormat="1" applyFont="1" applyBorder="1"/>
    <xf numFmtId="41" fontId="92" fillId="0" borderId="225" xfId="0" applyNumberFormat="1" applyFont="1" applyBorder="1"/>
    <xf numFmtId="41" fontId="92" fillId="0" borderId="227" xfId="0" applyNumberFormat="1" applyFont="1" applyBorder="1"/>
    <xf numFmtId="41" fontId="73" fillId="0" borderId="219" xfId="0" applyNumberFormat="1" applyFont="1" applyBorder="1"/>
    <xf numFmtId="41" fontId="73" fillId="0" borderId="231" xfId="0" applyNumberFormat="1" applyFont="1" applyBorder="1"/>
    <xf numFmtId="41" fontId="92" fillId="0" borderId="256" xfId="0" applyNumberFormat="1" applyFont="1" applyBorder="1" applyAlignment="1">
      <alignment horizontal="center"/>
    </xf>
    <xf numFmtId="41" fontId="92" fillId="0" borderId="205" xfId="0" applyNumberFormat="1" applyFont="1" applyBorder="1" applyAlignment="1">
      <alignment horizontal="center"/>
    </xf>
    <xf numFmtId="41" fontId="92" fillId="0" borderId="233" xfId="0" applyNumberFormat="1" applyFont="1" applyBorder="1" applyAlignment="1">
      <alignment horizontal="center"/>
    </xf>
    <xf numFmtId="41" fontId="92" fillId="0" borderId="226" xfId="0" applyNumberFormat="1" applyFont="1" applyBorder="1" applyAlignment="1">
      <alignment vertical="center" wrapText="1"/>
    </xf>
    <xf numFmtId="41" fontId="92" fillId="0" borderId="227" xfId="0" applyNumberFormat="1" applyFont="1" applyBorder="1" applyAlignment="1">
      <alignment vertical="center" wrapText="1"/>
    </xf>
    <xf numFmtId="41" fontId="92" fillId="0" borderId="257" xfId="0" applyNumberFormat="1" applyFont="1" applyBorder="1" applyAlignment="1">
      <alignment horizontal="center"/>
    </xf>
    <xf numFmtId="41" fontId="92" fillId="0" borderId="243" xfId="0" applyNumberFormat="1" applyFont="1" applyBorder="1" applyAlignment="1">
      <alignment horizontal="center"/>
    </xf>
    <xf numFmtId="41" fontId="92" fillId="0" borderId="244" xfId="0" applyNumberFormat="1" applyFont="1" applyBorder="1" applyAlignment="1">
      <alignment horizontal="center"/>
    </xf>
    <xf numFmtId="41" fontId="92" fillId="0" borderId="258" xfId="0" applyNumberFormat="1" applyFont="1" applyBorder="1" applyAlignment="1">
      <alignment vertical="center" wrapText="1"/>
    </xf>
    <xf numFmtId="41" fontId="92" fillId="0" borderId="259" xfId="0" applyNumberFormat="1" applyFont="1" applyBorder="1" applyAlignment="1">
      <alignment vertical="center" wrapText="1"/>
    </xf>
    <xf numFmtId="3" fontId="73" fillId="0" borderId="260" xfId="0" applyNumberFormat="1" applyFont="1" applyBorder="1" applyAlignment="1" applyProtection="1">
      <alignment horizontal="center" wrapText="1"/>
      <protection locked="0"/>
    </xf>
    <xf numFmtId="0" fontId="0" fillId="0" borderId="12" xfId="0" applyBorder="1"/>
    <xf numFmtId="41" fontId="73" fillId="0" borderId="165" xfId="0" applyNumberFormat="1" applyFont="1" applyBorder="1" applyAlignment="1">
      <alignment vertical="center" wrapText="1"/>
    </xf>
    <xf numFmtId="41" fontId="73" fillId="0" borderId="166" xfId="0" applyNumberFormat="1" applyFont="1" applyBorder="1" applyAlignment="1">
      <alignment vertical="center" wrapText="1"/>
    </xf>
    <xf numFmtId="41" fontId="73" fillId="0" borderId="261" xfId="0" applyNumberFormat="1" applyFont="1" applyBorder="1" applyAlignment="1">
      <alignment vertical="center" wrapText="1"/>
    </xf>
    <xf numFmtId="41" fontId="73" fillId="0" borderId="37" xfId="0" applyNumberFormat="1" applyFont="1" applyBorder="1" applyAlignment="1">
      <alignment wrapText="1"/>
    </xf>
    <xf numFmtId="41" fontId="73" fillId="29" borderId="221" xfId="0" applyNumberFormat="1" applyFont="1" applyFill="1" applyBorder="1" applyAlignment="1" applyProtection="1">
      <alignment vertical="center" wrapText="1"/>
      <protection locked="0"/>
    </xf>
    <xf numFmtId="0" fontId="75" fillId="0" borderId="0" xfId="0" applyFont="1" applyAlignment="1">
      <alignment horizontal="left"/>
    </xf>
    <xf numFmtId="0" fontId="77" fillId="0" borderId="176" xfId="0" applyFont="1" applyBorder="1" applyAlignment="1">
      <alignment horizontal="left" indent="1"/>
    </xf>
    <xf numFmtId="0" fontId="75" fillId="0" borderId="176" xfId="0" applyFont="1" applyBorder="1" applyAlignment="1">
      <alignment horizontal="left" vertical="center" indent="1"/>
    </xf>
    <xf numFmtId="0" fontId="75" fillId="0" borderId="176" xfId="0" applyFont="1" applyBorder="1" applyAlignment="1">
      <alignment horizontal="left" indent="1"/>
    </xf>
    <xf numFmtId="0" fontId="73" fillId="0" borderId="176" xfId="0" applyFont="1" applyBorder="1" applyAlignment="1">
      <alignment horizontal="left" indent="1"/>
    </xf>
    <xf numFmtId="0" fontId="126" fillId="94" borderId="0" xfId="0" applyFont="1" applyFill="1" applyAlignment="1">
      <alignment vertical="top"/>
    </xf>
    <xf numFmtId="0" fontId="127" fillId="94" borderId="262" xfId="0" applyFont="1" applyFill="1" applyBorder="1" applyAlignment="1">
      <alignment vertical="top"/>
    </xf>
    <xf numFmtId="0" fontId="127" fillId="94" borderId="262" xfId="0" applyFont="1" applyFill="1" applyBorder="1" applyAlignment="1">
      <alignment horizontal="center" vertical="top"/>
    </xf>
    <xf numFmtId="0" fontId="73" fillId="0" borderId="176" xfId="0" applyFont="1" applyBorder="1" applyAlignment="1" applyProtection="1">
      <alignment horizontal="left" indent="1"/>
      <protection hidden="1"/>
    </xf>
    <xf numFmtId="0" fontId="125" fillId="0" borderId="0" xfId="1134" applyFont="1" applyAlignment="1">
      <alignment horizontal="center" vertical="center" wrapText="1"/>
    </xf>
    <xf numFmtId="0" fontId="106" fillId="62" borderId="176" xfId="0" applyFont="1" applyFill="1" applyBorder="1" applyAlignment="1">
      <alignment horizontal="center"/>
    </xf>
    <xf numFmtId="0" fontId="107" fillId="55" borderId="176" xfId="0" quotePrefix="1" applyFont="1" applyFill="1" applyBorder="1" applyAlignment="1">
      <alignment horizontal="center"/>
    </xf>
    <xf numFmtId="0" fontId="107" fillId="55" borderId="176" xfId="0" applyFont="1" applyFill="1" applyBorder="1" applyAlignment="1">
      <alignment horizontal="center"/>
    </xf>
    <xf numFmtId="0" fontId="73" fillId="28" borderId="263" xfId="2447" applyFont="1" applyFill="1" applyBorder="1" applyAlignment="1" applyProtection="1">
      <alignment vertical="top"/>
      <protection hidden="1"/>
    </xf>
    <xf numFmtId="0" fontId="82" fillId="62" borderId="176" xfId="2447" applyFont="1" applyFill="1" applyBorder="1" applyAlignment="1" applyProtection="1">
      <alignment horizontal="centerContinuous" vertical="top" wrapText="1"/>
      <protection hidden="1"/>
    </xf>
    <xf numFmtId="0" fontId="73" fillId="55" borderId="263" xfId="2447" applyFont="1" applyFill="1" applyBorder="1" applyAlignment="1" applyProtection="1">
      <alignment horizontal="center" vertical="center"/>
      <protection hidden="1"/>
    </xf>
    <xf numFmtId="0" fontId="81" fillId="62" borderId="263" xfId="2447" applyFont="1" applyFill="1" applyBorder="1" applyAlignment="1" applyProtection="1">
      <alignment horizontal="centerContinuous" vertical="top"/>
      <protection hidden="1"/>
    </xf>
    <xf numFmtId="0" fontId="81" fillId="62" borderId="179" xfId="2447" applyFont="1" applyFill="1" applyBorder="1" applyAlignment="1" applyProtection="1">
      <alignment horizontal="centerContinuous" vertical="top"/>
      <protection hidden="1"/>
    </xf>
    <xf numFmtId="0" fontId="0" fillId="55" borderId="263" xfId="0" applyFill="1" applyBorder="1"/>
    <xf numFmtId="0" fontId="73" fillId="28" borderId="176" xfId="2447" applyFont="1" applyFill="1" applyBorder="1" applyAlignment="1" applyProtection="1">
      <alignment horizontal="left" vertical="top" indent="1"/>
      <protection hidden="1"/>
    </xf>
    <xf numFmtId="0" fontId="73" fillId="28" borderId="176" xfId="2447" applyFont="1" applyFill="1" applyBorder="1" applyAlignment="1" applyProtection="1">
      <alignment horizontal="left" vertical="center" indent="1"/>
      <protection hidden="1"/>
    </xf>
    <xf numFmtId="0" fontId="75" fillId="28" borderId="176" xfId="2447" applyFont="1" applyFill="1" applyBorder="1" applyAlignment="1" applyProtection="1">
      <alignment vertical="center"/>
      <protection hidden="1"/>
    </xf>
    <xf numFmtId="41" fontId="73" fillId="0" borderId="176" xfId="0" applyNumberFormat="1" applyFont="1" applyBorder="1" applyAlignment="1">
      <alignment horizontal="center"/>
    </xf>
    <xf numFmtId="0" fontId="73" fillId="0" borderId="176" xfId="0" applyFont="1" applyBorder="1" applyAlignment="1">
      <alignment horizontal="center"/>
    </xf>
    <xf numFmtId="41" fontId="73" fillId="0" borderId="196" xfId="0" applyNumberFormat="1" applyFont="1" applyBorder="1" applyAlignment="1">
      <alignment horizontal="center"/>
    </xf>
    <xf numFmtId="0" fontId="77" fillId="0" borderId="105" xfId="0" applyFont="1" applyBorder="1" applyAlignment="1">
      <alignment horizontal="center"/>
    </xf>
    <xf numFmtId="0" fontId="4" fillId="0" borderId="193" xfId="0" applyFont="1" applyBorder="1" applyAlignment="1">
      <alignment horizontal="center"/>
    </xf>
    <xf numFmtId="0" fontId="0" fillId="0" borderId="194" xfId="0" applyBorder="1" applyAlignment="1">
      <alignment horizontal="center"/>
    </xf>
    <xf numFmtId="0" fontId="4" fillId="0" borderId="195" xfId="0" applyFont="1" applyBorder="1" applyAlignment="1">
      <alignment horizontal="center"/>
    </xf>
    <xf numFmtId="0" fontId="0" fillId="0" borderId="197" xfId="0" applyBorder="1" applyAlignment="1">
      <alignment horizontal="center"/>
    </xf>
    <xf numFmtId="0" fontId="75" fillId="0" borderId="104" xfId="0" applyFont="1" applyBorder="1" applyAlignment="1">
      <alignment horizontal="center"/>
    </xf>
    <xf numFmtId="0" fontId="77" fillId="0" borderId="172" xfId="0" applyFont="1" applyBorder="1" applyAlignment="1">
      <alignment horizontal="center"/>
    </xf>
    <xf numFmtId="0" fontId="77" fillId="0" borderId="266" xfId="0" applyFont="1" applyBorder="1" applyAlignment="1">
      <alignment horizontal="left"/>
    </xf>
    <xf numFmtId="0" fontId="0" fillId="0" borderId="265" xfId="0" applyBorder="1" applyAlignment="1">
      <alignment horizontal="center"/>
    </xf>
    <xf numFmtId="0" fontId="43" fillId="0" borderId="267" xfId="0" applyFont="1" applyBorder="1" applyAlignment="1">
      <alignment horizontal="center"/>
    </xf>
    <xf numFmtId="0" fontId="74" fillId="0" borderId="17" xfId="0" applyFont="1" applyBorder="1"/>
    <xf numFmtId="0" fontId="83" fillId="0" borderId="10" xfId="0" applyFont="1" applyBorder="1" applyAlignment="1">
      <alignment vertical="center"/>
    </xf>
    <xf numFmtId="0" fontId="83" fillId="0" borderId="46" xfId="0" applyFont="1" applyBorder="1" applyAlignment="1">
      <alignment vertical="center"/>
    </xf>
    <xf numFmtId="0" fontId="83" fillId="0" borderId="25" xfId="0" applyFont="1" applyBorder="1" applyAlignment="1">
      <alignment vertical="center"/>
    </xf>
    <xf numFmtId="0" fontId="73" fillId="0" borderId="37" xfId="0" applyFont="1" applyBorder="1"/>
    <xf numFmtId="0" fontId="83" fillId="55" borderId="10" xfId="0" applyFont="1" applyFill="1" applyBorder="1" applyAlignment="1">
      <alignment horizontal="center" vertical="center"/>
    </xf>
    <xf numFmtId="0" fontId="88" fillId="57" borderId="176" xfId="2447" applyFont="1" applyFill="1" applyBorder="1" applyAlignment="1">
      <alignment horizontal="left" vertical="top" wrapText="1" indent="1"/>
    </xf>
    <xf numFmtId="0" fontId="88" fillId="55" borderId="263" xfId="2447" applyFont="1" applyFill="1" applyBorder="1" applyAlignment="1">
      <alignment vertical="top" wrapText="1"/>
    </xf>
    <xf numFmtId="1" fontId="72" fillId="0" borderId="0" xfId="0" applyNumberFormat="1" applyFont="1"/>
    <xf numFmtId="41" fontId="75" fillId="0" borderId="0" xfId="0" applyNumberFormat="1" applyFont="1"/>
    <xf numFmtId="0" fontId="75" fillId="0" borderId="72" xfId="0" applyFont="1" applyBorder="1" applyAlignment="1">
      <alignment horizontal="center" wrapText="1"/>
    </xf>
    <xf numFmtId="0" fontId="87" fillId="0" borderId="0" xfId="0" applyFont="1" applyAlignment="1">
      <alignment horizontal="left"/>
    </xf>
    <xf numFmtId="0" fontId="87" fillId="0" borderId="0" xfId="0" applyFont="1" applyAlignment="1">
      <alignment wrapText="1"/>
    </xf>
    <xf numFmtId="0" fontId="87" fillId="0" borderId="0" xfId="0" applyFont="1" applyAlignment="1">
      <alignment horizontal="center" wrapText="1"/>
    </xf>
    <xf numFmtId="41" fontId="75" fillId="0" borderId="0" xfId="0" applyNumberFormat="1" applyFont="1" applyAlignment="1">
      <alignment wrapText="1"/>
    </xf>
    <xf numFmtId="42" fontId="73" fillId="0" borderId="0" xfId="0" applyNumberFormat="1" applyFont="1" applyAlignment="1">
      <alignment wrapText="1"/>
    </xf>
    <xf numFmtId="0" fontId="75" fillId="0" borderId="0" xfId="0" applyFont="1" applyAlignment="1">
      <alignment horizontal="left" wrapText="1"/>
    </xf>
    <xf numFmtId="41" fontId="75" fillId="0" borderId="83" xfId="0" applyNumberFormat="1" applyFont="1" applyBorder="1"/>
    <xf numFmtId="0" fontId="75" fillId="0" borderId="0" xfId="0" applyFont="1" applyAlignment="1">
      <alignment wrapText="1"/>
    </xf>
    <xf numFmtId="41" fontId="91" fillId="0" borderId="0" xfId="0" applyNumberFormat="1" applyFont="1" applyAlignment="1">
      <alignment wrapText="1"/>
    </xf>
    <xf numFmtId="41" fontId="75" fillId="0" borderId="83" xfId="0" applyNumberFormat="1" applyFont="1" applyBorder="1" applyAlignment="1">
      <alignment wrapText="1"/>
    </xf>
    <xf numFmtId="0" fontId="75" fillId="0" borderId="176" xfId="0" applyFont="1" applyBorder="1" applyAlignment="1">
      <alignment horizontal="center"/>
    </xf>
    <xf numFmtId="43" fontId="73" fillId="0" borderId="0" xfId="0" applyNumberFormat="1" applyFont="1" applyAlignment="1">
      <alignment horizontal="center"/>
    </xf>
    <xf numFmtId="43" fontId="73" fillId="0" borderId="198" xfId="0" applyNumberFormat="1" applyFont="1" applyBorder="1" applyAlignment="1">
      <alignment horizontal="center"/>
    </xf>
    <xf numFmtId="43" fontId="0" fillId="0" borderId="78" xfId="2446" applyFont="1" applyBorder="1"/>
    <xf numFmtId="43" fontId="73" fillId="0" borderId="78" xfId="0" applyNumberFormat="1" applyFont="1" applyBorder="1" applyAlignment="1">
      <alignment horizontal="center"/>
    </xf>
    <xf numFmtId="0" fontId="0" fillId="0" borderId="78" xfId="0" applyBorder="1"/>
    <xf numFmtId="0" fontId="75" fillId="56" borderId="176" xfId="0" applyFont="1" applyFill="1" applyBorder="1" applyAlignment="1">
      <alignment horizontal="center"/>
    </xf>
    <xf numFmtId="0" fontId="73" fillId="0" borderId="177" xfId="0" applyFont="1" applyBorder="1"/>
    <xf numFmtId="0" fontId="0" fillId="0" borderId="270" xfId="0" applyBorder="1"/>
    <xf numFmtId="0" fontId="103" fillId="0" borderId="59" xfId="0" applyFont="1" applyBorder="1"/>
    <xf numFmtId="0" fontId="0" fillId="0" borderId="160" xfId="0" applyBorder="1"/>
    <xf numFmtId="0" fontId="73" fillId="0" borderId="263" xfId="0" applyFont="1" applyBorder="1"/>
    <xf numFmtId="0" fontId="103" fillId="0" borderId="263" xfId="0" applyFont="1" applyBorder="1"/>
    <xf numFmtId="0" fontId="0" fillId="0" borderId="179" xfId="0" applyBorder="1"/>
    <xf numFmtId="0" fontId="103" fillId="0" borderId="77" xfId="0" applyFont="1" applyBorder="1" applyAlignment="1">
      <alignment horizontal="center"/>
    </xf>
    <xf numFmtId="0" fontId="103" fillId="0" borderId="178" xfId="0" applyFont="1" applyBorder="1"/>
    <xf numFmtId="0" fontId="75" fillId="55" borderId="49" xfId="0" applyFont="1" applyFill="1" applyBorder="1" applyAlignment="1">
      <alignment horizontal="centerContinuous" vertical="center" wrapText="1"/>
    </xf>
    <xf numFmtId="0" fontId="107" fillId="0" borderId="176" xfId="0" applyFont="1" applyBorder="1" applyAlignment="1">
      <alignment horizontal="center" vertical="center" wrapText="1"/>
    </xf>
    <xf numFmtId="0" fontId="73" fillId="97" borderId="272" xfId="0" applyFont="1" applyFill="1" applyBorder="1" applyAlignment="1">
      <alignment vertical="top"/>
    </xf>
    <xf numFmtId="41" fontId="73" fillId="29" borderId="230" xfId="1134" applyNumberFormat="1" applyFont="1" applyFill="1" applyBorder="1" applyAlignment="1" applyProtection="1">
      <alignment vertical="center" wrapText="1"/>
      <protection locked="0"/>
    </xf>
    <xf numFmtId="41" fontId="73" fillId="0" borderId="139" xfId="0" applyNumberFormat="1" applyFont="1" applyBorder="1" applyAlignment="1">
      <alignment vertical="center" wrapText="1"/>
    </xf>
    <xf numFmtId="0" fontId="72" fillId="0" borderId="0" xfId="0" applyFont="1" applyAlignment="1">
      <alignment horizontal="left"/>
    </xf>
    <xf numFmtId="0" fontId="75" fillId="56" borderId="264" xfId="0" applyFont="1" applyFill="1" applyBorder="1" applyAlignment="1">
      <alignment horizontal="center"/>
    </xf>
    <xf numFmtId="41" fontId="130" fillId="0" borderId="0" xfId="0" applyNumberFormat="1" applyFont="1" applyAlignment="1" applyProtection="1">
      <alignment horizontal="center"/>
      <protection hidden="1"/>
    </xf>
    <xf numFmtId="0" fontId="103" fillId="54" borderId="104" xfId="0" applyFont="1" applyFill="1" applyBorder="1"/>
    <xf numFmtId="0" fontId="103" fillId="54" borderId="193" xfId="0" applyFont="1" applyFill="1" applyBorder="1"/>
    <xf numFmtId="0" fontId="103" fillId="54" borderId="195" xfId="0" applyFont="1" applyFill="1" applyBorder="1"/>
    <xf numFmtId="41" fontId="73" fillId="29" borderId="229" xfId="0" applyNumberFormat="1" applyFont="1" applyFill="1" applyBorder="1" applyAlignment="1" applyProtection="1">
      <alignment vertical="center" wrapText="1"/>
      <protection locked="0"/>
    </xf>
    <xf numFmtId="0" fontId="73" fillId="56" borderId="176" xfId="0" applyFont="1" applyFill="1" applyBorder="1"/>
    <xf numFmtId="0" fontId="79" fillId="0" borderId="0" xfId="2445" applyFill="1" applyAlignment="1" applyProtection="1"/>
    <xf numFmtId="0" fontId="79" fillId="0" borderId="0" xfId="2445" applyAlignment="1" applyProtection="1"/>
    <xf numFmtId="0" fontId="73" fillId="56" borderId="176" xfId="0" applyFont="1" applyFill="1" applyBorder="1" applyProtection="1">
      <protection locked="0"/>
    </xf>
    <xf numFmtId="41" fontId="73" fillId="55" borderId="289" xfId="1134" applyNumberFormat="1" applyFont="1" applyFill="1" applyBorder="1" applyAlignment="1">
      <alignment vertical="top"/>
    </xf>
    <xf numFmtId="0" fontId="0" fillId="0" borderId="174" xfId="0" applyBorder="1" applyAlignment="1">
      <alignment wrapText="1"/>
    </xf>
    <xf numFmtId="41" fontId="73" fillId="0" borderId="301" xfId="0" applyNumberFormat="1" applyFont="1" applyBorder="1" applyAlignment="1">
      <alignment vertical="center" wrapText="1"/>
    </xf>
    <xf numFmtId="41" fontId="75" fillId="0" borderId="300" xfId="1134" applyNumberFormat="1" applyFont="1" applyBorder="1" applyAlignment="1">
      <alignment vertical="top"/>
    </xf>
    <xf numFmtId="41" fontId="73" fillId="0" borderId="141" xfId="1134" applyNumberFormat="1" applyFont="1" applyBorder="1" applyAlignment="1">
      <alignment vertical="top"/>
    </xf>
    <xf numFmtId="41" fontId="75" fillId="55" borderId="299" xfId="1134" applyNumberFormat="1" applyFont="1" applyFill="1" applyBorder="1" applyAlignment="1">
      <alignment vertical="top"/>
    </xf>
    <xf numFmtId="41" fontId="73" fillId="55" borderId="141" xfId="1134" applyNumberFormat="1" applyFont="1" applyFill="1" applyBorder="1" applyAlignment="1">
      <alignment vertical="top"/>
    </xf>
    <xf numFmtId="41" fontId="73" fillId="55" borderId="299" xfId="1134" applyNumberFormat="1" applyFont="1" applyFill="1" applyBorder="1" applyAlignment="1">
      <alignment vertical="top"/>
    </xf>
    <xf numFmtId="0" fontId="0" fillId="0" borderId="12" xfId="0" applyBorder="1" applyAlignment="1">
      <alignment wrapText="1"/>
    </xf>
    <xf numFmtId="41" fontId="73" fillId="0" borderId="11" xfId="1134" applyNumberFormat="1" applyFont="1" applyBorder="1" applyAlignment="1">
      <alignment vertical="top"/>
    </xf>
    <xf numFmtId="3" fontId="75" fillId="0" borderId="47" xfId="0" applyNumberFormat="1" applyFont="1" applyBorder="1" applyAlignment="1" applyProtection="1">
      <alignment horizontal="center" wrapText="1"/>
      <protection locked="0"/>
    </xf>
    <xf numFmtId="41" fontId="75" fillId="0" borderId="298" xfId="1134" applyNumberFormat="1" applyFont="1" applyBorder="1" applyAlignment="1">
      <alignment vertical="top"/>
    </xf>
    <xf numFmtId="41" fontId="75" fillId="55" borderId="297" xfId="1134" applyNumberFormat="1" applyFont="1" applyFill="1" applyBorder="1" applyAlignment="1">
      <alignment vertical="top"/>
    </xf>
    <xf numFmtId="41" fontId="73" fillId="55" borderId="297" xfId="1134" applyNumberFormat="1" applyFont="1" applyFill="1" applyBorder="1" applyAlignment="1">
      <alignment vertical="top"/>
    </xf>
    <xf numFmtId="0" fontId="0" fillId="0" borderId="47" xfId="0" applyBorder="1"/>
    <xf numFmtId="0" fontId="0" fillId="0" borderId="10" xfId="0" applyBorder="1"/>
    <xf numFmtId="0" fontId="75" fillId="0" borderId="10" xfId="1134" applyFont="1" applyBorder="1" applyAlignment="1">
      <alignment vertical="top"/>
    </xf>
    <xf numFmtId="0" fontId="75" fillId="0" borderId="37" xfId="1134" applyFont="1" applyBorder="1" applyAlignment="1">
      <alignment vertical="top"/>
    </xf>
    <xf numFmtId="3" fontId="75" fillId="0" borderId="85" xfId="0" applyNumberFormat="1" applyFont="1" applyBorder="1" applyAlignment="1" applyProtection="1">
      <alignment horizontal="center" wrapText="1"/>
      <protection locked="0"/>
    </xf>
    <xf numFmtId="0" fontId="73" fillId="0" borderId="296" xfId="0" applyFont="1" applyBorder="1"/>
    <xf numFmtId="0" fontId="73" fillId="0" borderId="77" xfId="0" applyFont="1" applyBorder="1" applyAlignment="1">
      <alignment horizontal="left" indent="1"/>
    </xf>
    <xf numFmtId="0" fontId="73" fillId="54" borderId="176" xfId="0" applyFont="1" applyFill="1" applyBorder="1" applyAlignment="1" applyProtection="1">
      <alignment horizontal="left" indent="1"/>
      <protection locked="0"/>
    </xf>
    <xf numFmtId="0" fontId="73" fillId="0" borderId="296" xfId="0" applyFont="1" applyBorder="1" applyAlignment="1">
      <alignment horizontal="left" indent="1"/>
    </xf>
    <xf numFmtId="0" fontId="73" fillId="0" borderId="176" xfId="0" applyFont="1" applyBorder="1" applyProtection="1">
      <protection hidden="1"/>
    </xf>
    <xf numFmtId="0" fontId="73" fillId="54" borderId="176" xfId="1134" applyFont="1" applyFill="1" applyBorder="1" applyAlignment="1" applyProtection="1">
      <alignment horizontal="left" indent="1"/>
      <protection locked="0"/>
    </xf>
    <xf numFmtId="0" fontId="73" fillId="0" borderId="176" xfId="0" applyFont="1" applyBorder="1" applyAlignment="1" applyProtection="1">
      <alignment wrapText="1"/>
      <protection hidden="1"/>
    </xf>
    <xf numFmtId="0" fontId="75" fillId="0" borderId="176" xfId="0" applyFont="1" applyBorder="1"/>
    <xf numFmtId="0" fontId="73" fillId="0" borderId="276" xfId="0" applyFont="1" applyBorder="1"/>
    <xf numFmtId="0" fontId="102" fillId="0" borderId="263" xfId="0" applyFont="1" applyBorder="1" applyAlignment="1">
      <alignment horizontal="centerContinuous"/>
    </xf>
    <xf numFmtId="0" fontId="102" fillId="0" borderId="176" xfId="0" applyFont="1" applyBorder="1" applyAlignment="1">
      <alignment horizontal="centerContinuous"/>
    </xf>
    <xf numFmtId="0" fontId="102" fillId="0" borderId="178" xfId="0" applyFont="1" applyBorder="1" applyAlignment="1">
      <alignment horizontal="centerContinuous" wrapText="1"/>
    </xf>
    <xf numFmtId="0" fontId="73" fillId="0" borderId="270" xfId="0" applyFont="1" applyBorder="1"/>
    <xf numFmtId="0" fontId="73" fillId="0" borderId="275" xfId="0" applyFont="1" applyBorder="1"/>
    <xf numFmtId="0" fontId="73" fillId="0" borderId="179" xfId="0" applyFont="1" applyBorder="1" applyAlignment="1">
      <alignment horizontal="center" vertical="center"/>
    </xf>
    <xf numFmtId="0" fontId="73" fillId="0" borderId="263" xfId="0" applyFont="1" applyBorder="1" applyAlignment="1">
      <alignment horizontal="center" vertical="center"/>
    </xf>
    <xf numFmtId="0" fontId="75" fillId="0" borderId="52" xfId="0" applyFont="1" applyBorder="1" applyProtection="1">
      <protection hidden="1"/>
    </xf>
    <xf numFmtId="0" fontId="73" fillId="0" borderId="176" xfId="0" applyFont="1" applyBorder="1" applyAlignment="1">
      <alignment horizontal="center" vertical="center"/>
    </xf>
    <xf numFmtId="0" fontId="80" fillId="0" borderId="176" xfId="0" applyFont="1" applyBorder="1" applyAlignment="1">
      <alignment horizontal="center" wrapText="1"/>
    </xf>
    <xf numFmtId="0" fontId="73" fillId="0" borderId="176" xfId="0" applyFont="1" applyBorder="1" applyAlignment="1">
      <alignment horizontal="center" wrapText="1"/>
    </xf>
    <xf numFmtId="0" fontId="102" fillId="0" borderId="276" xfId="0" applyFont="1" applyBorder="1" applyAlignment="1" applyProtection="1">
      <alignment horizontal="left"/>
      <protection hidden="1"/>
    </xf>
    <xf numFmtId="0" fontId="75" fillId="0" borderId="176" xfId="0" applyFont="1" applyBorder="1" applyAlignment="1">
      <alignment horizontal="centerContinuous" vertical="center"/>
    </xf>
    <xf numFmtId="0" fontId="75" fillId="0" borderId="176" xfId="0" applyFont="1" applyBorder="1" applyAlignment="1">
      <alignment horizontal="centerContinuous"/>
    </xf>
    <xf numFmtId="0" fontId="102" fillId="0" borderId="52" xfId="0" applyFont="1" applyBorder="1" applyAlignment="1" applyProtection="1">
      <alignment horizontal="left"/>
      <protection hidden="1"/>
    </xf>
    <xf numFmtId="41" fontId="89" fillId="0" borderId="179" xfId="95" applyNumberFormat="1" applyFont="1" applyBorder="1" applyAlignment="1">
      <alignment horizontal="centerContinuous" vertical="center"/>
    </xf>
    <xf numFmtId="41" fontId="89" fillId="0" borderId="263" xfId="95" applyNumberFormat="1" applyFont="1" applyBorder="1" applyAlignment="1">
      <alignment horizontal="centerContinuous" vertical="center"/>
    </xf>
    <xf numFmtId="41" fontId="75" fillId="0" borderId="179" xfId="95" applyNumberFormat="1" applyFont="1" applyBorder="1" applyAlignment="1">
      <alignment horizontal="centerContinuous" vertical="center"/>
    </xf>
    <xf numFmtId="41" fontId="75" fillId="0" borderId="263" xfId="95" applyNumberFormat="1" applyFont="1" applyBorder="1" applyAlignment="1">
      <alignment horizontal="centerContinuous" vertical="center"/>
    </xf>
    <xf numFmtId="41" fontId="102" fillId="0" borderId="178" xfId="95" applyNumberFormat="1" applyFont="1" applyBorder="1" applyAlignment="1">
      <alignment horizontal="centerContinuous" vertical="center" wrapText="1"/>
    </xf>
    <xf numFmtId="0" fontId="102" fillId="0" borderId="176" xfId="0" applyFont="1" applyBorder="1" applyAlignment="1">
      <alignment horizontal="center"/>
    </xf>
    <xf numFmtId="0" fontId="75" fillId="0" borderId="270" xfId="0" applyFont="1" applyBorder="1" applyAlignment="1" applyProtection="1">
      <alignment horizontal="left"/>
      <protection hidden="1"/>
    </xf>
    <xf numFmtId="0" fontId="102" fillId="0" borderId="275" xfId="0" applyFont="1" applyBorder="1" applyAlignment="1" applyProtection="1">
      <alignment horizontal="left"/>
      <protection hidden="1"/>
    </xf>
    <xf numFmtId="0" fontId="81" fillId="55" borderId="295" xfId="0" applyFont="1" applyFill="1" applyBorder="1" applyAlignment="1">
      <alignment horizontal="centerContinuous"/>
    </xf>
    <xf numFmtId="0" fontId="82" fillId="55" borderId="52" xfId="0" applyFont="1" applyFill="1" applyBorder="1" applyAlignment="1" applyProtection="1">
      <alignment horizontal="centerContinuous" vertical="top"/>
      <protection hidden="1"/>
    </xf>
    <xf numFmtId="0" fontId="81" fillId="62" borderId="294" xfId="0" applyFont="1" applyFill="1" applyBorder="1" applyAlignment="1">
      <alignment horizontal="centerContinuous"/>
    </xf>
    <xf numFmtId="43" fontId="81" fillId="62" borderId="280" xfId="2446" applyFont="1" applyFill="1" applyBorder="1" applyAlignment="1" applyProtection="1">
      <alignment horizontal="centerContinuous"/>
    </xf>
    <xf numFmtId="0" fontId="81" fillId="62" borderId="280" xfId="0" applyFont="1" applyFill="1" applyBorder="1" applyAlignment="1">
      <alignment horizontal="centerContinuous"/>
    </xf>
    <xf numFmtId="0" fontId="104" fillId="62" borderId="280" xfId="0" applyFont="1" applyFill="1" applyBorder="1" applyAlignment="1" applyProtection="1">
      <alignment horizontal="centerContinuous" vertical="top"/>
      <protection hidden="1"/>
    </xf>
    <xf numFmtId="0" fontId="82" fillId="62" borderId="280" xfId="0" applyFont="1" applyFill="1" applyBorder="1" applyAlignment="1" applyProtection="1">
      <alignment horizontal="centerContinuous" vertical="top"/>
      <protection hidden="1"/>
    </xf>
    <xf numFmtId="0" fontId="82" fillId="62" borderId="279" xfId="0" applyFont="1" applyFill="1" applyBorder="1" applyAlignment="1" applyProtection="1">
      <alignment horizontal="centerContinuous" vertical="top"/>
      <protection hidden="1"/>
    </xf>
    <xf numFmtId="0" fontId="73" fillId="0" borderId="179" xfId="0" applyFont="1" applyBorder="1"/>
    <xf numFmtId="0" fontId="75" fillId="0" borderId="178" xfId="0" applyFont="1" applyBorder="1"/>
    <xf numFmtId="0" fontId="75" fillId="0" borderId="178" xfId="0" applyFont="1" applyBorder="1" applyAlignment="1" applyProtection="1">
      <alignment horizontal="left"/>
      <protection hidden="1"/>
    </xf>
    <xf numFmtId="0" fontId="73" fillId="54" borderId="176" xfId="1134" applyFont="1" applyFill="1" applyBorder="1" applyAlignment="1" applyProtection="1">
      <alignment horizontal="center"/>
      <protection locked="0"/>
    </xf>
    <xf numFmtId="0" fontId="75" fillId="0" borderId="179" xfId="0" applyFont="1" applyBorder="1" applyAlignment="1" applyProtection="1">
      <alignment horizontal="left"/>
      <protection hidden="1"/>
    </xf>
    <xf numFmtId="0" fontId="75" fillId="0" borderId="176" xfId="0" applyFont="1" applyBorder="1" applyAlignment="1">
      <alignment horizontal="center" vertical="center"/>
    </xf>
    <xf numFmtId="0" fontId="74" fillId="0" borderId="179" xfId="0" applyFont="1" applyBorder="1" applyAlignment="1" applyProtection="1">
      <alignment horizontal="left" wrapText="1"/>
      <protection hidden="1"/>
    </xf>
    <xf numFmtId="0" fontId="73" fillId="0" borderId="57" xfId="0" applyFont="1" applyBorder="1" applyAlignment="1">
      <alignment vertical="center"/>
    </xf>
    <xf numFmtId="43" fontId="81" fillId="62" borderId="198" xfId="2446" applyFont="1" applyFill="1" applyBorder="1" applyAlignment="1" applyProtection="1">
      <alignment horizontal="centerContinuous"/>
    </xf>
    <xf numFmtId="0" fontId="81" fillId="62" borderId="198" xfId="0" applyFont="1" applyFill="1" applyBorder="1" applyAlignment="1">
      <alignment horizontal="centerContinuous"/>
    </xf>
    <xf numFmtId="0" fontId="104" fillId="62" borderId="198" xfId="0" applyFont="1" applyFill="1" applyBorder="1" applyAlignment="1" applyProtection="1">
      <alignment horizontal="centerContinuous" vertical="top"/>
      <protection hidden="1"/>
    </xf>
    <xf numFmtId="0" fontId="82" fillId="62" borderId="198" xfId="0" applyFont="1" applyFill="1" applyBorder="1" applyAlignment="1" applyProtection="1">
      <alignment horizontal="centerContinuous" vertical="top"/>
      <protection hidden="1"/>
    </xf>
    <xf numFmtId="41" fontId="0" fillId="0" borderId="0" xfId="0" applyNumberFormat="1"/>
    <xf numFmtId="41" fontId="75" fillId="0" borderId="293" xfId="1134" applyNumberFormat="1" applyFont="1" applyBorder="1" applyAlignment="1">
      <alignment vertical="top"/>
    </xf>
    <xf numFmtId="41" fontId="75" fillId="0" borderId="292" xfId="1134" applyNumberFormat="1" applyFont="1" applyBorder="1" applyAlignment="1">
      <alignment vertical="top"/>
    </xf>
    <xf numFmtId="41" fontId="75" fillId="0" borderId="244" xfId="1134" applyNumberFormat="1" applyFont="1" applyBorder="1" applyAlignment="1">
      <alignment vertical="top"/>
    </xf>
    <xf numFmtId="41" fontId="75" fillId="55" borderId="291" xfId="1134" applyNumberFormat="1" applyFont="1" applyFill="1" applyBorder="1" applyAlignment="1">
      <alignment vertical="top"/>
    </xf>
    <xf numFmtId="41" fontId="75" fillId="55" borderId="290" xfId="1134" applyNumberFormat="1" applyFont="1" applyFill="1" applyBorder="1" applyAlignment="1">
      <alignment vertical="top"/>
    </xf>
    <xf numFmtId="41" fontId="75" fillId="55" borderId="289" xfId="1134" applyNumberFormat="1" applyFont="1" applyFill="1" applyBorder="1" applyAlignment="1">
      <alignment vertical="top"/>
    </xf>
    <xf numFmtId="41" fontId="73" fillId="55" borderId="291" xfId="1134" applyNumberFormat="1" applyFont="1" applyFill="1" applyBorder="1" applyAlignment="1">
      <alignment vertical="top"/>
    </xf>
    <xf numFmtId="41" fontId="73" fillId="55" borderId="290" xfId="1134" applyNumberFormat="1" applyFont="1" applyFill="1" applyBorder="1" applyAlignment="1">
      <alignment vertical="top"/>
    </xf>
    <xf numFmtId="41" fontId="73" fillId="55" borderId="288" xfId="1134" applyNumberFormat="1" applyFont="1" applyFill="1" applyBorder="1" applyAlignment="1">
      <alignment vertical="top"/>
    </xf>
    <xf numFmtId="41" fontId="75" fillId="0" borderId="287" xfId="1134" applyNumberFormat="1" applyFont="1" applyBorder="1" applyAlignment="1">
      <alignment vertical="top"/>
    </xf>
    <xf numFmtId="41" fontId="75" fillId="0" borderId="286" xfId="1134" applyNumberFormat="1" applyFont="1" applyBorder="1" applyAlignment="1">
      <alignment vertical="top"/>
    </xf>
    <xf numFmtId="41" fontId="75" fillId="55" borderId="284" xfId="1134" applyNumberFormat="1" applyFont="1" applyFill="1" applyBorder="1" applyAlignment="1">
      <alignment vertical="top"/>
    </xf>
    <xf numFmtId="41" fontId="75" fillId="55" borderId="283" xfId="1134" applyNumberFormat="1" applyFont="1" applyFill="1" applyBorder="1" applyAlignment="1">
      <alignment vertical="top"/>
    </xf>
    <xf numFmtId="41" fontId="73" fillId="29" borderId="126" xfId="1134" applyNumberFormat="1" applyFont="1" applyFill="1" applyBorder="1" applyAlignment="1" applyProtection="1">
      <alignment vertical="top" wrapText="1"/>
      <protection locked="0"/>
    </xf>
    <xf numFmtId="41" fontId="73" fillId="29" borderId="285" xfId="1134" applyNumberFormat="1" applyFont="1" applyFill="1" applyBorder="1" applyAlignment="1" applyProtection="1">
      <alignment vertical="top" wrapText="1"/>
      <protection locked="0"/>
    </xf>
    <xf numFmtId="41" fontId="73" fillId="55" borderId="284" xfId="1134" applyNumberFormat="1" applyFont="1" applyFill="1" applyBorder="1" applyAlignment="1">
      <alignment vertical="top"/>
    </xf>
    <xf numFmtId="41" fontId="73" fillId="29" borderId="130" xfId="1134" applyNumberFormat="1" applyFont="1" applyFill="1" applyBorder="1" applyAlignment="1" applyProtection="1">
      <alignment vertical="top"/>
      <protection locked="0"/>
    </xf>
    <xf numFmtId="41" fontId="73" fillId="29" borderId="123" xfId="1134" applyNumberFormat="1" applyFont="1" applyFill="1" applyBorder="1" applyAlignment="1" applyProtection="1">
      <alignment vertical="top"/>
      <protection locked="0"/>
    </xf>
    <xf numFmtId="41" fontId="73" fillId="55" borderId="283" xfId="1134" applyNumberFormat="1" applyFont="1" applyFill="1" applyBorder="1" applyAlignment="1">
      <alignment vertical="top"/>
    </xf>
    <xf numFmtId="41" fontId="73" fillId="29" borderId="282" xfId="1134" applyNumberFormat="1" applyFont="1" applyFill="1" applyBorder="1" applyAlignment="1" applyProtection="1">
      <alignment vertical="top"/>
      <protection locked="0"/>
    </xf>
    <xf numFmtId="41" fontId="73" fillId="29" borderId="281" xfId="1134" applyNumberFormat="1" applyFont="1" applyFill="1" applyBorder="1" applyAlignment="1" applyProtection="1">
      <alignment vertical="top"/>
      <protection locked="0"/>
    </xf>
    <xf numFmtId="0" fontId="98" fillId="0" borderId="0" xfId="0" applyFont="1" applyAlignment="1">
      <alignment horizontal="center" vertical="center"/>
    </xf>
    <xf numFmtId="0" fontId="75" fillId="59" borderId="278" xfId="0" applyFont="1" applyFill="1" applyBorder="1" applyAlignment="1">
      <alignment horizontal="left" indent="1"/>
    </xf>
    <xf numFmtId="0" fontId="73" fillId="54" borderId="176" xfId="0" applyFont="1" applyFill="1" applyBorder="1" applyAlignment="1" applyProtection="1">
      <alignment horizontal="center"/>
      <protection locked="0"/>
    </xf>
    <xf numFmtId="0" fontId="75" fillId="0" borderId="11" xfId="1134" applyFont="1" applyBorder="1" applyAlignment="1">
      <alignment vertical="top"/>
    </xf>
    <xf numFmtId="0" fontId="75" fillId="0" borderId="0" xfId="1134" applyFont="1" applyAlignment="1">
      <alignment vertical="top"/>
    </xf>
    <xf numFmtId="0" fontId="73" fillId="0" borderId="0" xfId="1134" applyFont="1" applyAlignment="1">
      <alignment vertical="top"/>
    </xf>
    <xf numFmtId="41" fontId="73" fillId="0" borderId="0" xfId="1134" applyNumberFormat="1" applyFont="1" applyAlignment="1">
      <alignment horizontal="right" vertical="top"/>
    </xf>
    <xf numFmtId="41" fontId="73" fillId="0" borderId="0" xfId="1134" applyNumberFormat="1" applyFont="1" applyAlignment="1">
      <alignment vertical="top"/>
    </xf>
    <xf numFmtId="41" fontId="73" fillId="0" borderId="0" xfId="1134" applyNumberFormat="1" applyFont="1" applyAlignment="1">
      <alignment horizontal="right" vertical="top" wrapText="1"/>
    </xf>
    <xf numFmtId="3" fontId="73" fillId="0" borderId="11" xfId="1134" applyNumberFormat="1" applyFont="1" applyBorder="1" applyAlignment="1">
      <alignment vertical="top"/>
    </xf>
    <xf numFmtId="3" fontId="73" fillId="0" borderId="0" xfId="1134" applyNumberFormat="1" applyFont="1" applyAlignment="1">
      <alignment vertical="top"/>
    </xf>
    <xf numFmtId="41" fontId="73" fillId="29" borderId="273" xfId="1134" applyNumberFormat="1" applyFont="1" applyFill="1" applyBorder="1" applyAlignment="1" applyProtection="1">
      <alignment vertical="top" wrapText="1"/>
      <protection locked="0"/>
    </xf>
    <xf numFmtId="0" fontId="93" fillId="0" borderId="0" xfId="1134" applyFont="1" applyAlignment="1">
      <alignment horizontal="left" vertical="top"/>
    </xf>
    <xf numFmtId="0" fontId="75" fillId="0" borderId="46" xfId="1134" applyFont="1" applyBorder="1" applyAlignment="1">
      <alignment vertical="top"/>
    </xf>
    <xf numFmtId="0" fontId="75" fillId="0" borderId="25" xfId="1134" applyFont="1" applyBorder="1" applyAlignment="1">
      <alignment vertical="top"/>
    </xf>
    <xf numFmtId="0" fontId="73" fillId="0" borderId="10" xfId="1134" applyFont="1" applyBorder="1" applyAlignment="1">
      <alignment vertical="top"/>
    </xf>
    <xf numFmtId="41" fontId="73" fillId="0" borderId="20" xfId="1134" applyNumberFormat="1" applyFont="1" applyBorder="1" applyAlignment="1">
      <alignment vertical="top"/>
    </xf>
    <xf numFmtId="41" fontId="73" fillId="0" borderId="25" xfId="1134" applyNumberFormat="1" applyFont="1" applyBorder="1" applyAlignment="1">
      <alignment horizontal="right" vertical="top"/>
    </xf>
    <xf numFmtId="41" fontId="73" fillId="0" borderId="10" xfId="1134" applyNumberFormat="1" applyFont="1" applyBorder="1" applyAlignment="1">
      <alignment horizontal="right" vertical="top"/>
    </xf>
    <xf numFmtId="41" fontId="73" fillId="0" borderId="10" xfId="1134" applyNumberFormat="1" applyFont="1" applyBorder="1" applyAlignment="1">
      <alignment vertical="top"/>
    </xf>
    <xf numFmtId="3" fontId="73" fillId="55" borderId="0" xfId="1134" applyNumberFormat="1" applyFont="1" applyFill="1" applyAlignment="1">
      <alignment vertical="top"/>
    </xf>
    <xf numFmtId="0" fontId="73" fillId="55" borderId="0" xfId="1134" applyFont="1" applyFill="1" applyAlignment="1">
      <alignment vertical="top"/>
    </xf>
    <xf numFmtId="41" fontId="73" fillId="55" borderId="274" xfId="1134" applyNumberFormat="1" applyFont="1" applyFill="1" applyBorder="1" applyAlignment="1">
      <alignment vertical="top"/>
    </xf>
    <xf numFmtId="41" fontId="73" fillId="55" borderId="20" xfId="1134" applyNumberFormat="1" applyFont="1" applyFill="1" applyBorder="1" applyAlignment="1">
      <alignment vertical="top"/>
    </xf>
    <xf numFmtId="3" fontId="75" fillId="0" borderId="0" xfId="1134" applyNumberFormat="1" applyFont="1" applyAlignment="1">
      <alignment vertical="top"/>
    </xf>
    <xf numFmtId="41" fontId="75" fillId="0" borderId="0" xfId="1134" applyNumberFormat="1" applyFont="1" applyAlignment="1">
      <alignment horizontal="right" vertical="top"/>
    </xf>
    <xf numFmtId="41" fontId="75" fillId="55" borderId="274" xfId="1134" applyNumberFormat="1" applyFont="1" applyFill="1" applyBorder="1" applyAlignment="1">
      <alignment vertical="top"/>
    </xf>
    <xf numFmtId="41" fontId="75" fillId="0" borderId="25" xfId="1134" applyNumberFormat="1" applyFont="1" applyBorder="1" applyAlignment="1">
      <alignment horizontal="right" vertical="top"/>
    </xf>
    <xf numFmtId="41" fontId="73" fillId="0" borderId="25" xfId="1134" applyNumberFormat="1" applyFont="1" applyBorder="1" applyAlignment="1">
      <alignment vertical="top"/>
    </xf>
    <xf numFmtId="41" fontId="75" fillId="0" borderId="242" xfId="1134" applyNumberFormat="1" applyFont="1" applyBorder="1" applyAlignment="1">
      <alignment vertical="top"/>
    </xf>
    <xf numFmtId="41" fontId="73" fillId="29" borderId="277" xfId="1134" applyNumberFormat="1" applyFont="1" applyFill="1" applyBorder="1" applyAlignment="1" applyProtection="1">
      <alignment vertical="top"/>
      <protection locked="0"/>
    </xf>
    <xf numFmtId="41" fontId="73" fillId="29" borderId="81" xfId="1134" applyNumberFormat="1" applyFont="1" applyFill="1" applyBorder="1" applyAlignment="1" applyProtection="1">
      <alignment vertical="top"/>
      <protection locked="0"/>
    </xf>
    <xf numFmtId="0" fontId="126" fillId="94" borderId="262" xfId="0" applyFont="1" applyFill="1" applyBorder="1" applyAlignment="1">
      <alignment horizontal="center" vertical="top" wrapText="1"/>
    </xf>
    <xf numFmtId="0" fontId="127" fillId="94" borderId="262" xfId="0" applyFont="1" applyFill="1" applyBorder="1" applyAlignment="1">
      <alignment horizontal="center" vertical="top" wrapText="1"/>
    </xf>
    <xf numFmtId="0" fontId="0" fillId="0" borderId="0" xfId="0" applyAlignment="1">
      <alignment vertical="center" wrapText="1"/>
    </xf>
    <xf numFmtId="3" fontId="0" fillId="0" borderId="0" xfId="0" applyNumberFormat="1" applyAlignment="1">
      <alignment horizontal="center" vertical="center" wrapText="1"/>
    </xf>
    <xf numFmtId="174" fontId="73" fillId="97" borderId="303" xfId="2502" applyNumberFormat="1" applyFont="1" applyFill="1" applyBorder="1" applyAlignment="1" applyProtection="1">
      <alignment vertical="top" wrapText="1"/>
      <protection locked="0"/>
    </xf>
    <xf numFmtId="174" fontId="73" fillId="97" borderId="215" xfId="2502" applyNumberFormat="1" applyFont="1" applyFill="1" applyBorder="1" applyAlignment="1" applyProtection="1">
      <alignment vertical="top" wrapText="1"/>
      <protection locked="0"/>
    </xf>
    <xf numFmtId="0" fontId="73" fillId="97" borderId="123" xfId="0" applyFont="1" applyFill="1" applyBorder="1" applyAlignment="1">
      <alignment vertical="top" wrapText="1"/>
    </xf>
    <xf numFmtId="41" fontId="73" fillId="97" borderId="130" xfId="0" applyNumberFormat="1" applyFont="1" applyFill="1" applyBorder="1" applyAlignment="1">
      <alignment vertical="center" wrapText="1"/>
    </xf>
    <xf numFmtId="174" fontId="73" fillId="97" borderId="304" xfId="2502" applyNumberFormat="1" applyFont="1" applyFill="1" applyBorder="1" applyAlignment="1" applyProtection="1">
      <alignment vertical="center" wrapText="1"/>
    </xf>
    <xf numFmtId="174" fontId="73" fillId="97" borderId="80" xfId="2502" applyNumberFormat="1" applyFont="1" applyFill="1" applyBorder="1" applyAlignment="1" applyProtection="1">
      <alignment vertical="center" wrapText="1"/>
    </xf>
    <xf numFmtId="41" fontId="73" fillId="97" borderId="305" xfId="0" applyNumberFormat="1" applyFont="1" applyFill="1" applyBorder="1" applyAlignment="1">
      <alignment vertical="center" wrapText="1"/>
    </xf>
    <xf numFmtId="41" fontId="75" fillId="0" borderId="302" xfId="0" applyNumberFormat="1" applyFont="1" applyBorder="1" applyAlignment="1">
      <alignment horizontal="center"/>
    </xf>
    <xf numFmtId="0" fontId="77" fillId="0" borderId="66" xfId="0" applyFont="1" applyBorder="1"/>
    <xf numFmtId="0" fontId="0" fillId="0" borderId="79" xfId="0" applyBorder="1"/>
    <xf numFmtId="0" fontId="129" fillId="95" borderId="220" xfId="0" applyFont="1" applyFill="1" applyBorder="1"/>
    <xf numFmtId="0" fontId="0" fillId="0" borderId="220" xfId="0" applyBorder="1"/>
    <xf numFmtId="0" fontId="129" fillId="98" borderId="220" xfId="0" applyFont="1" applyFill="1" applyBorder="1"/>
    <xf numFmtId="0" fontId="73" fillId="0" borderId="220" xfId="0" applyFont="1" applyBorder="1"/>
    <xf numFmtId="4" fontId="73" fillId="0" borderId="125" xfId="0" applyNumberFormat="1" applyFont="1" applyBorder="1" applyAlignment="1">
      <alignment horizontal="center" wrapText="1"/>
    </xf>
    <xf numFmtId="172" fontId="73" fillId="0" borderId="302" xfId="0" applyNumberFormat="1" applyFont="1" applyBorder="1"/>
    <xf numFmtId="43" fontId="73" fillId="0" borderId="302" xfId="2446" applyFont="1" applyFill="1" applyBorder="1" applyProtection="1"/>
    <xf numFmtId="172" fontId="73" fillId="0" borderId="302" xfId="2446" applyNumberFormat="1" applyFont="1" applyFill="1" applyBorder="1" applyProtection="1"/>
    <xf numFmtId="0" fontId="128" fillId="95" borderId="306" xfId="0" applyFont="1" applyFill="1" applyBorder="1"/>
    <xf numFmtId="0" fontId="128" fillId="95" borderId="306" xfId="0" applyFont="1" applyFill="1" applyBorder="1" applyAlignment="1">
      <alignment horizontal="center"/>
    </xf>
    <xf numFmtId="0" fontId="128" fillId="98" borderId="306" xfId="0" applyFont="1" applyFill="1" applyBorder="1"/>
    <xf numFmtId="0" fontId="128" fillId="98" borderId="307" xfId="0" applyFont="1" applyFill="1" applyBorder="1"/>
    <xf numFmtId="0" fontId="128" fillId="95" borderId="307" xfId="0" applyFont="1" applyFill="1" applyBorder="1"/>
    <xf numFmtId="0" fontId="128" fillId="98" borderId="306" xfId="0" applyFont="1" applyFill="1" applyBorder="1" applyAlignment="1">
      <alignment horizontal="center"/>
    </xf>
    <xf numFmtId="175" fontId="128" fillId="98" borderId="306" xfId="0" applyNumberFormat="1" applyFont="1" applyFill="1" applyBorder="1" applyAlignment="1">
      <alignment horizontal="center"/>
    </xf>
    <xf numFmtId="1" fontId="128" fillId="95" borderId="306" xfId="0" applyNumberFormat="1" applyFont="1" applyFill="1" applyBorder="1" applyAlignment="1">
      <alignment horizontal="center"/>
    </xf>
    <xf numFmtId="0" fontId="104" fillId="62" borderId="68" xfId="0" applyFont="1" applyFill="1" applyBorder="1" applyAlignment="1" applyProtection="1">
      <alignment horizontal="centerContinuous" vertical="top" wrapText="1"/>
      <protection hidden="1"/>
    </xf>
    <xf numFmtId="172" fontId="73" fillId="54" borderId="176" xfId="2446" applyNumberFormat="1" applyFont="1" applyFill="1" applyBorder="1" applyAlignment="1" applyProtection="1">
      <alignment horizontal="center"/>
    </xf>
    <xf numFmtId="0" fontId="136" fillId="0" borderId="73" xfId="0" applyFont="1" applyBorder="1" applyAlignment="1">
      <alignment horizontal="right"/>
    </xf>
    <xf numFmtId="0" fontId="137" fillId="0" borderId="308" xfId="0" applyFont="1" applyBorder="1" applyAlignment="1">
      <alignment vertical="top"/>
    </xf>
    <xf numFmtId="41" fontId="73" fillId="0" borderId="0" xfId="0" applyNumberFormat="1" applyFont="1" applyAlignment="1" applyProtection="1">
      <alignment vertical="center" wrapText="1"/>
      <protection locked="0"/>
    </xf>
    <xf numFmtId="3" fontId="137" fillId="0" borderId="308" xfId="0" applyNumberFormat="1" applyFont="1" applyBorder="1" applyAlignment="1">
      <alignment horizontal="right" vertical="top"/>
    </xf>
    <xf numFmtId="0" fontId="137" fillId="0" borderId="309" xfId="0" applyFont="1" applyBorder="1" applyAlignment="1">
      <alignment horizontal="center" vertical="top"/>
    </xf>
    <xf numFmtId="0" fontId="137" fillId="0" borderId="309" xfId="0" quotePrefix="1" applyFont="1" applyBorder="1" applyAlignment="1">
      <alignment horizontal="center" vertical="top"/>
    </xf>
    <xf numFmtId="0" fontId="137" fillId="0" borderId="310" xfId="0" applyFont="1" applyBorder="1" applyAlignment="1">
      <alignment horizontal="center" vertical="top"/>
    </xf>
    <xf numFmtId="0" fontId="137" fillId="0" borderId="311" xfId="0" applyFont="1" applyBorder="1" applyAlignment="1">
      <alignment vertical="top"/>
    </xf>
    <xf numFmtId="3" fontId="137" fillId="0" borderId="311" xfId="0" applyNumberFormat="1" applyFont="1" applyBorder="1" applyAlignment="1">
      <alignment horizontal="right" vertical="top"/>
    </xf>
    <xf numFmtId="0" fontId="138" fillId="98" borderId="306" xfId="0" applyFont="1" applyFill="1" applyBorder="1" applyAlignment="1">
      <alignment horizontal="center"/>
    </xf>
    <xf numFmtId="0" fontId="138" fillId="98" borderId="312" xfId="0" applyFont="1" applyFill="1" applyBorder="1" applyAlignment="1">
      <alignment horizontal="center"/>
    </xf>
    <xf numFmtId="0" fontId="138" fillId="95" borderId="306" xfId="0" applyFont="1" applyFill="1" applyBorder="1" applyAlignment="1">
      <alignment horizontal="center"/>
    </xf>
    <xf numFmtId="0" fontId="138" fillId="95" borderId="312" xfId="0" applyFont="1" applyFill="1" applyBorder="1" applyAlignment="1">
      <alignment horizontal="center"/>
    </xf>
    <xf numFmtId="0" fontId="128" fillId="98" borderId="313" xfId="0" applyFont="1" applyFill="1" applyBorder="1"/>
    <xf numFmtId="175" fontId="128" fillId="98" borderId="313" xfId="0" applyNumberFormat="1" applyFont="1" applyFill="1" applyBorder="1" applyAlignment="1">
      <alignment horizontal="center"/>
    </xf>
    <xf numFmtId="0" fontId="128" fillId="98" borderId="314" xfId="0" applyFont="1" applyFill="1" applyBorder="1" applyAlignment="1">
      <alignment horizontal="center"/>
    </xf>
    <xf numFmtId="0" fontId="128" fillId="98" borderId="314" xfId="0" applyFont="1" applyFill="1" applyBorder="1"/>
    <xf numFmtId="0" fontId="128" fillId="95" borderId="315" xfId="0" applyNumberFormat="1" applyFont="1" applyFill="1" applyBorder="1" applyAlignment="1">
      <alignment horizontal="center"/>
    </xf>
    <xf numFmtId="0" fontId="128" fillId="95" borderId="313" xfId="0" applyNumberFormat="1" applyFont="1" applyFill="1" applyBorder="1" applyAlignment="1">
      <alignment horizontal="center"/>
    </xf>
    <xf numFmtId="0" fontId="73" fillId="0" borderId="52" xfId="0" quotePrefix="1" applyFont="1" applyBorder="1" applyAlignment="1">
      <alignment horizontal="left" vertical="top" wrapText="1"/>
    </xf>
    <xf numFmtId="0" fontId="73" fillId="0" borderId="0" xfId="0" applyFont="1" applyAlignment="1">
      <alignment horizontal="left" vertical="top" wrapText="1"/>
    </xf>
    <xf numFmtId="0" fontId="74" fillId="0" borderId="0" xfId="0" applyFont="1" applyAlignment="1">
      <alignment horizontal="center" wrapText="1"/>
    </xf>
    <xf numFmtId="0" fontId="125" fillId="0" borderId="0" xfId="1134" applyFont="1" applyAlignment="1" applyProtection="1">
      <alignment horizontal="center" vertical="center" wrapText="1"/>
      <protection hidden="1"/>
    </xf>
    <xf numFmtId="0" fontId="73" fillId="0" borderId="178" xfId="0" applyFont="1" applyBorder="1" applyAlignment="1" applyProtection="1">
      <alignment horizontal="left" indent="1"/>
      <protection locked="0"/>
    </xf>
    <xf numFmtId="0" fontId="73" fillId="0" borderId="179" xfId="0" applyFont="1" applyBorder="1" applyAlignment="1" applyProtection="1">
      <alignment horizontal="left" indent="1"/>
      <protection locked="0"/>
    </xf>
    <xf numFmtId="0" fontId="131" fillId="0" borderId="0" xfId="0" applyFont="1" applyAlignment="1" applyProtection="1">
      <alignment horizontal="center" vertical="center" wrapText="1"/>
      <protection hidden="1"/>
    </xf>
    <xf numFmtId="0" fontId="73" fillId="0" borderId="176" xfId="1134" applyFont="1" applyBorder="1" applyAlignment="1" applyProtection="1">
      <alignment horizontal="left" vertical="center" indent="1"/>
      <protection locked="0"/>
    </xf>
    <xf numFmtId="171" fontId="73" fillId="0" borderId="176" xfId="1134" applyNumberFormat="1" applyFont="1" applyBorder="1" applyAlignment="1" applyProtection="1">
      <alignment horizontal="left" vertical="center" indent="1"/>
      <protection locked="0"/>
    </xf>
    <xf numFmtId="0" fontId="73" fillId="57" borderId="178" xfId="0" applyFont="1" applyFill="1" applyBorder="1" applyAlignment="1">
      <alignment horizontal="left" wrapText="1" indent="1"/>
    </xf>
    <xf numFmtId="0" fontId="73" fillId="57" borderId="263" xfId="0" applyFont="1" applyFill="1" applyBorder="1" applyAlignment="1">
      <alignment horizontal="left" wrapText="1" indent="1"/>
    </xf>
    <xf numFmtId="0" fontId="73" fillId="57" borderId="179" xfId="0" applyFont="1" applyFill="1" applyBorder="1" applyAlignment="1">
      <alignment horizontal="left" wrapText="1" indent="1"/>
    </xf>
    <xf numFmtId="0" fontId="88" fillId="57" borderId="178" xfId="2447" applyFont="1" applyFill="1" applyBorder="1" applyAlignment="1">
      <alignment horizontal="left" vertical="top" wrapText="1" indent="1"/>
    </xf>
    <xf numFmtId="0" fontId="88" fillId="57" borderId="263" xfId="2447" applyFont="1" applyFill="1" applyBorder="1" applyAlignment="1">
      <alignment horizontal="left" vertical="top" wrapText="1" indent="1"/>
    </xf>
    <xf numFmtId="0" fontId="88" fillId="57" borderId="179" xfId="2447" applyFont="1" applyFill="1" applyBorder="1" applyAlignment="1">
      <alignment horizontal="left" vertical="top" wrapText="1" indent="1"/>
    </xf>
    <xf numFmtId="0" fontId="88" fillId="57" borderId="64" xfId="2447" applyFont="1" applyFill="1" applyBorder="1" applyAlignment="1">
      <alignment horizontal="left" vertical="top" wrapText="1" indent="1"/>
    </xf>
    <xf numFmtId="0" fontId="88" fillId="55" borderId="264" xfId="2447" applyFont="1" applyFill="1" applyBorder="1" applyAlignment="1">
      <alignment horizontal="left" vertical="top" wrapText="1"/>
    </xf>
    <xf numFmtId="0" fontId="88" fillId="55" borderId="77" xfId="2447" applyFont="1" applyFill="1" applyBorder="1" applyAlignment="1">
      <alignment horizontal="left" vertical="top" wrapText="1"/>
    </xf>
    <xf numFmtId="0" fontId="74" fillId="0" borderId="11" xfId="0" applyFont="1" applyBorder="1" applyAlignment="1">
      <alignment horizontal="center"/>
    </xf>
    <xf numFmtId="0" fontId="74" fillId="0" borderId="0" xfId="0" applyFont="1" applyAlignment="1">
      <alignment horizontal="center"/>
    </xf>
    <xf numFmtId="0" fontId="74" fillId="0" borderId="12" xfId="0" applyFont="1" applyBorder="1" applyAlignment="1">
      <alignment horizontal="center"/>
    </xf>
    <xf numFmtId="3" fontId="73" fillId="0" borderId="0" xfId="0" applyNumberFormat="1" applyFont="1" applyAlignment="1">
      <alignment vertical="center" wrapText="1"/>
    </xf>
    <xf numFmtId="41" fontId="75" fillId="0" borderId="184" xfId="0" applyNumberFormat="1" applyFont="1" applyBorder="1" applyAlignment="1">
      <alignment horizontal="center" wrapText="1"/>
    </xf>
    <xf numFmtId="41" fontId="75" fillId="0" borderId="183" xfId="0" applyNumberFormat="1" applyFont="1" applyBorder="1" applyAlignment="1">
      <alignment horizontal="center" wrapText="1"/>
    </xf>
    <xf numFmtId="41" fontId="75" fillId="0" borderId="224" xfId="0" applyNumberFormat="1" applyFont="1" applyBorder="1" applyAlignment="1">
      <alignment horizontal="center" wrapText="1"/>
    </xf>
    <xf numFmtId="41" fontId="75" fillId="0" borderId="192" xfId="0" applyNumberFormat="1" applyFont="1" applyBorder="1" applyAlignment="1">
      <alignment horizontal="center"/>
    </xf>
    <xf numFmtId="41" fontId="75" fillId="0" borderId="183" xfId="0" applyNumberFormat="1" applyFont="1" applyBorder="1" applyAlignment="1">
      <alignment horizontal="center"/>
    </xf>
    <xf numFmtId="41" fontId="75" fillId="0" borderId="223" xfId="0" applyNumberFormat="1" applyFont="1" applyBorder="1" applyAlignment="1">
      <alignment horizontal="center"/>
    </xf>
    <xf numFmtId="41" fontId="75" fillId="0" borderId="224" xfId="0" applyNumberFormat="1" applyFont="1" applyBorder="1" applyAlignment="1">
      <alignment horizontal="center"/>
    </xf>
    <xf numFmtId="0" fontId="73" fillId="0" borderId="11" xfId="0" applyFont="1" applyBorder="1" applyAlignment="1">
      <alignment vertical="top" wrapText="1"/>
    </xf>
    <xf numFmtId="0" fontId="73" fillId="0" borderId="0" xfId="0" applyFont="1" applyAlignment="1">
      <alignment vertical="top" wrapText="1"/>
    </xf>
    <xf numFmtId="0" fontId="73" fillId="0" borderId="16" xfId="0" applyFont="1" applyBorder="1" applyAlignment="1">
      <alignment vertical="top" wrapText="1"/>
    </xf>
    <xf numFmtId="0" fontId="73" fillId="0" borderId="17" xfId="0" applyFont="1" applyBorder="1" applyAlignment="1">
      <alignment vertical="top" wrapText="1"/>
    </xf>
    <xf numFmtId="41" fontId="73" fillId="0" borderId="0" xfId="0" applyNumberFormat="1" applyFont="1" applyAlignment="1">
      <alignment horizontal="center" vertical="top" wrapText="1"/>
    </xf>
    <xf numFmtId="41" fontId="73" fillId="0" borderId="17" xfId="0" applyNumberFormat="1" applyFont="1" applyBorder="1" applyAlignment="1">
      <alignment horizontal="center" vertical="top" wrapText="1"/>
    </xf>
    <xf numFmtId="41" fontId="73" fillId="0" borderId="88" xfId="0" applyNumberFormat="1" applyFont="1" applyBorder="1" applyAlignment="1">
      <alignment horizontal="center"/>
    </xf>
    <xf numFmtId="41" fontId="73" fillId="0" borderId="89" xfId="0" applyNumberFormat="1" applyFont="1" applyBorder="1" applyAlignment="1">
      <alignment horizontal="center"/>
    </xf>
    <xf numFmtId="41" fontId="75" fillId="0" borderId="223" xfId="0" applyNumberFormat="1" applyFont="1" applyBorder="1" applyAlignment="1">
      <alignment horizontal="center" wrapText="1"/>
    </xf>
    <xf numFmtId="0" fontId="73" fillId="97" borderId="271" xfId="0" applyFont="1" applyFill="1" applyBorder="1" applyAlignment="1">
      <alignment horizontal="center" vertical="top" wrapText="1"/>
    </xf>
    <xf numFmtId="0" fontId="73" fillId="97" borderId="82" xfId="0" applyFont="1" applyFill="1" applyBorder="1" applyAlignment="1">
      <alignment horizontal="center" vertical="top" wrapText="1"/>
    </xf>
    <xf numFmtId="0" fontId="73" fillId="97" borderId="90" xfId="0" applyFont="1" applyFill="1" applyBorder="1" applyAlignment="1">
      <alignment horizontal="center" vertical="top" wrapText="1"/>
    </xf>
    <xf numFmtId="0" fontId="73" fillId="57" borderId="183" xfId="0" applyFont="1" applyFill="1" applyBorder="1" applyAlignment="1">
      <alignment horizontal="center" vertical="center" wrapText="1"/>
    </xf>
    <xf numFmtId="0" fontId="73" fillId="57" borderId="224" xfId="0" applyFont="1" applyFill="1" applyBorder="1" applyAlignment="1">
      <alignment horizontal="center" vertical="center" wrapText="1"/>
    </xf>
    <xf numFmtId="0" fontId="73" fillId="57" borderId="0" xfId="0" applyFont="1" applyFill="1" applyAlignment="1">
      <alignment horizontal="center" vertical="center" wrapText="1"/>
    </xf>
    <xf numFmtId="0" fontId="73" fillId="57" borderId="12" xfId="0" applyFont="1" applyFill="1" applyBorder="1" applyAlignment="1">
      <alignment horizontal="center" vertical="center" wrapText="1"/>
    </xf>
    <xf numFmtId="0" fontId="73" fillId="57" borderId="17" xfId="0" applyFont="1" applyFill="1" applyBorder="1" applyAlignment="1">
      <alignment horizontal="center" vertical="center" wrapText="1"/>
    </xf>
    <xf numFmtId="0" fontId="73" fillId="57" borderId="38" xfId="0" applyFont="1" applyFill="1" applyBorder="1" applyAlignment="1">
      <alignment horizontal="center" vertical="center" wrapText="1"/>
    </xf>
    <xf numFmtId="3" fontId="73" fillId="29" borderId="0" xfId="1134" applyNumberFormat="1" applyFont="1" applyFill="1" applyProtection="1">
      <protection locked="0"/>
    </xf>
    <xf numFmtId="0" fontId="74" fillId="0" borderId="0" xfId="0" applyFont="1" applyAlignment="1" applyProtection="1">
      <alignment horizontal="center" wrapText="1"/>
      <protection hidden="1"/>
    </xf>
    <xf numFmtId="0" fontId="74" fillId="0" borderId="0" xfId="0" applyFont="1" applyAlignment="1" applyProtection="1">
      <alignment horizontal="center"/>
      <protection hidden="1"/>
    </xf>
    <xf numFmtId="0" fontId="87" fillId="0" borderId="0" xfId="0" applyFont="1" applyAlignment="1">
      <alignment horizontal="center" wrapText="1"/>
    </xf>
    <xf numFmtId="41" fontId="75" fillId="0" borderId="13" xfId="0" applyNumberFormat="1" applyFont="1" applyBorder="1" applyAlignment="1">
      <alignment horizontal="center"/>
    </xf>
    <xf numFmtId="41" fontId="75" fillId="0" borderId="14" xfId="0" applyNumberFormat="1" applyFont="1" applyBorder="1" applyAlignment="1">
      <alignment horizontal="center"/>
    </xf>
    <xf numFmtId="41" fontId="75" fillId="0" borderId="30" xfId="0" applyNumberFormat="1" applyFont="1" applyBorder="1" applyAlignment="1">
      <alignment horizontal="center"/>
    </xf>
    <xf numFmtId="0" fontId="75" fillId="0" borderId="180" xfId="0" applyFont="1" applyBorder="1" applyAlignment="1">
      <alignment horizontal="center" vertical="top" wrapText="1"/>
    </xf>
    <xf numFmtId="0" fontId="75" fillId="0" borderId="181" xfId="0" applyFont="1" applyBorder="1" applyAlignment="1">
      <alignment horizontal="center" vertical="top" wrapText="1"/>
    </xf>
    <xf numFmtId="0" fontId="75" fillId="0" borderId="182" xfId="0" applyFont="1" applyBorder="1" applyAlignment="1">
      <alignment horizontal="center" vertical="top" wrapText="1"/>
    </xf>
    <xf numFmtId="0" fontId="74" fillId="0" borderId="37" xfId="0" applyFont="1" applyBorder="1" applyAlignment="1">
      <alignment horizontal="center"/>
    </xf>
    <xf numFmtId="0" fontId="74" fillId="0" borderId="10" xfId="0" applyFont="1" applyBorder="1" applyAlignment="1">
      <alignment horizontal="center"/>
    </xf>
    <xf numFmtId="41" fontId="75" fillId="0" borderId="86" xfId="0" applyNumberFormat="1" applyFont="1" applyBorder="1" applyAlignment="1">
      <alignment horizontal="center"/>
    </xf>
    <xf numFmtId="41" fontId="75" fillId="0" borderId="87" xfId="0" applyNumberFormat="1" applyFont="1" applyBorder="1" applyAlignment="1">
      <alignment horizontal="center"/>
    </xf>
    <xf numFmtId="0" fontId="74" fillId="0" borderId="47" xfId="0" applyFont="1" applyBorder="1" applyAlignment="1">
      <alignment horizontal="center"/>
    </xf>
    <xf numFmtId="0" fontId="74" fillId="0" borderId="25" xfId="0" applyFont="1" applyBorder="1" applyAlignment="1">
      <alignment horizontal="center"/>
    </xf>
    <xf numFmtId="0" fontId="74" fillId="0" borderId="174" xfId="0" applyFont="1" applyBorder="1" applyAlignment="1">
      <alignment horizontal="center"/>
    </xf>
    <xf numFmtId="0" fontId="74" fillId="0" borderId="268" xfId="0" applyFont="1" applyBorder="1" applyAlignment="1">
      <alignment horizontal="center"/>
    </xf>
    <xf numFmtId="0" fontId="74" fillId="0" borderId="269" xfId="0" applyFont="1" applyBorder="1" applyAlignment="1">
      <alignment horizontal="center"/>
    </xf>
    <xf numFmtId="0" fontId="73" fillId="28" borderId="71" xfId="0" applyFont="1" applyFill="1" applyBorder="1" applyAlignment="1">
      <alignment horizontal="left" vertical="top"/>
    </xf>
    <xf numFmtId="0" fontId="73" fillId="28" borderId="72" xfId="0" applyFont="1" applyFill="1" applyBorder="1" applyAlignment="1">
      <alignment horizontal="left" vertical="top"/>
    </xf>
    <xf numFmtId="0" fontId="74" fillId="28" borderId="49" xfId="0" applyFont="1" applyFill="1" applyBorder="1" applyAlignment="1">
      <alignment horizontal="center"/>
    </xf>
    <xf numFmtId="0" fontId="74" fillId="28" borderId="0" xfId="0" applyFont="1" applyFill="1" applyAlignment="1">
      <alignment horizontal="center"/>
    </xf>
    <xf numFmtId="0" fontId="74" fillId="28" borderId="50" xfId="0" applyFont="1" applyFill="1" applyBorder="1" applyAlignment="1">
      <alignment horizontal="center"/>
    </xf>
    <xf numFmtId="0" fontId="76" fillId="55" borderId="49" xfId="0" applyFont="1" applyFill="1" applyBorder="1" applyAlignment="1">
      <alignment horizontal="center"/>
    </xf>
    <xf numFmtId="0" fontId="76" fillId="55" borderId="0" xfId="0" applyFont="1" applyFill="1" applyAlignment="1">
      <alignment horizontal="center"/>
    </xf>
    <xf numFmtId="0" fontId="76" fillId="55" borderId="50" xfId="0" applyFont="1" applyFill="1" applyBorder="1" applyAlignment="1">
      <alignment horizontal="center"/>
    </xf>
    <xf numFmtId="0" fontId="73" fillId="28" borderId="49" xfId="0" applyFont="1" applyFill="1" applyBorder="1" applyAlignment="1">
      <alignment horizontal="left" vertical="top" wrapText="1"/>
    </xf>
    <xf numFmtId="0" fontId="73" fillId="28" borderId="0" xfId="0" applyFont="1" applyFill="1" applyAlignment="1">
      <alignment horizontal="left" vertical="top" wrapText="1"/>
    </xf>
    <xf numFmtId="7" fontId="73" fillId="54" borderId="50" xfId="0" applyNumberFormat="1" applyFont="1" applyFill="1" applyBorder="1" applyAlignment="1" applyProtection="1">
      <alignment horizontal="left" vertical="center" indent="1"/>
      <protection locked="0"/>
    </xf>
    <xf numFmtId="0" fontId="73" fillId="28" borderId="49" xfId="0" applyFont="1" applyFill="1" applyBorder="1" applyAlignment="1">
      <alignment horizontal="left"/>
    </xf>
    <xf numFmtId="0" fontId="73" fillId="28" borderId="0" xfId="0" applyFont="1" applyFill="1" applyAlignment="1">
      <alignment horizontal="left"/>
    </xf>
    <xf numFmtId="0" fontId="103" fillId="0" borderId="196" xfId="0" applyFont="1" applyBorder="1" applyAlignment="1">
      <alignment horizontal="left"/>
    </xf>
    <xf numFmtId="0" fontId="103" fillId="0" borderId="197" xfId="0" applyFont="1" applyBorder="1" applyAlignment="1">
      <alignment horizontal="left"/>
    </xf>
    <xf numFmtId="0" fontId="73" fillId="0" borderId="55" xfId="0" applyFont="1" applyBorder="1" applyAlignment="1">
      <alignment horizontal="center" wrapText="1"/>
    </xf>
    <xf numFmtId="0" fontId="73" fillId="0" borderId="77" xfId="0" applyFont="1" applyBorder="1" applyAlignment="1">
      <alignment horizontal="center" wrapText="1"/>
    </xf>
    <xf numFmtId="0" fontId="77" fillId="0" borderId="106" xfId="0" applyFont="1" applyBorder="1" applyAlignment="1">
      <alignment vertical="center" wrapText="1"/>
    </xf>
    <xf numFmtId="0" fontId="77" fillId="0" borderId="108" xfId="0" applyFont="1" applyBorder="1" applyAlignment="1">
      <alignment vertical="center" wrapText="1"/>
    </xf>
    <xf numFmtId="0" fontId="77" fillId="0" borderId="110" xfId="0" applyFont="1" applyBorder="1" applyAlignment="1">
      <alignment vertical="center" wrapText="1"/>
    </xf>
    <xf numFmtId="0" fontId="4" fillId="0" borderId="67" xfId="0" applyFont="1" applyBorder="1" applyAlignment="1">
      <alignment horizontal="center" wrapText="1"/>
    </xf>
    <xf numFmtId="0" fontId="4" fillId="0" borderId="68" xfId="0" applyFont="1" applyBorder="1" applyAlignment="1">
      <alignment horizontal="center" wrapText="1"/>
    </xf>
    <xf numFmtId="0" fontId="4" fillId="0" borderId="69" xfId="0" applyFont="1" applyBorder="1" applyAlignment="1">
      <alignment horizontal="center" wrapText="1"/>
    </xf>
    <xf numFmtId="0" fontId="126" fillId="96" borderId="67" xfId="0" applyFont="1" applyFill="1" applyBorder="1" applyAlignment="1">
      <alignment horizontal="center"/>
    </xf>
    <xf numFmtId="0" fontId="126" fillId="96" borderId="68" xfId="0" applyFont="1" applyFill="1" applyBorder="1" applyAlignment="1">
      <alignment horizontal="center"/>
    </xf>
    <xf numFmtId="0" fontId="126" fillId="96" borderId="69" xfId="0" applyFont="1" applyFill="1" applyBorder="1" applyAlignment="1">
      <alignment horizontal="center"/>
    </xf>
    <xf numFmtId="0" fontId="77" fillId="0" borderId="67" xfId="0" applyFont="1" applyBorder="1" applyAlignment="1">
      <alignment horizontal="center"/>
    </xf>
    <xf numFmtId="0" fontId="77" fillId="0" borderId="68" xfId="0" applyFont="1" applyBorder="1" applyAlignment="1">
      <alignment horizontal="center"/>
    </xf>
    <xf numFmtId="0" fontId="77" fillId="0" borderId="69" xfId="0" applyFont="1" applyBorder="1" applyAlignment="1">
      <alignment horizontal="center"/>
    </xf>
    <xf numFmtId="0" fontId="103" fillId="0" borderId="105" xfId="0" applyFont="1" applyBorder="1" applyAlignment="1">
      <alignment horizontal="left"/>
    </xf>
    <xf numFmtId="0" fontId="103" fillId="0" borderId="172" xfId="0" applyFont="1" applyBorder="1" applyAlignment="1">
      <alignment horizontal="left"/>
    </xf>
    <xf numFmtId="0" fontId="103" fillId="0" borderId="176" xfId="0" applyFont="1" applyBorder="1" applyAlignment="1">
      <alignment horizontal="left"/>
    </xf>
    <xf numFmtId="0" fontId="103" fillId="0" borderId="194" xfId="0" applyFont="1" applyBorder="1" applyAlignment="1">
      <alignment horizontal="left"/>
    </xf>
  </cellXfs>
  <cellStyles count="6755">
    <cellStyle name="20% - Accent1" xfId="1" builtinId="30" customBuiltin="1"/>
    <cellStyle name="20% - Accent1 2" xfId="98" xr:uid="{00000000-0005-0000-0000-000001000000}"/>
    <cellStyle name="20% - Accent1 2 2" xfId="99" xr:uid="{00000000-0005-0000-0000-000002000000}"/>
    <cellStyle name="20% - Accent1 3" xfId="4760" xr:uid="{00000000-0005-0000-0000-000003000000}"/>
    <cellStyle name="20% - Accent2" xfId="2" builtinId="34" customBuiltin="1"/>
    <cellStyle name="20% - Accent2 2" xfId="100" xr:uid="{00000000-0005-0000-0000-000005000000}"/>
    <cellStyle name="20% - Accent2 2 2" xfId="101" xr:uid="{00000000-0005-0000-0000-000006000000}"/>
    <cellStyle name="20% - Accent2 3" xfId="4764" xr:uid="{00000000-0005-0000-0000-000007000000}"/>
    <cellStyle name="20% - Accent3" xfId="3" builtinId="38" customBuiltin="1"/>
    <cellStyle name="20% - Accent3 2" xfId="102" xr:uid="{00000000-0005-0000-0000-000009000000}"/>
    <cellStyle name="20% - Accent3 2 2" xfId="103" xr:uid="{00000000-0005-0000-0000-00000A000000}"/>
    <cellStyle name="20% - Accent3 3" xfId="4768" xr:uid="{00000000-0005-0000-0000-00000B000000}"/>
    <cellStyle name="20% - Accent4" xfId="4" builtinId="42" customBuiltin="1"/>
    <cellStyle name="20% - Accent4 2" xfId="104" xr:uid="{00000000-0005-0000-0000-00000D000000}"/>
    <cellStyle name="20% - Accent4 2 2" xfId="105" xr:uid="{00000000-0005-0000-0000-00000E000000}"/>
    <cellStyle name="20% - Accent4 3" xfId="4772" xr:uid="{00000000-0005-0000-0000-00000F000000}"/>
    <cellStyle name="20% - Accent5" xfId="5" builtinId="46" customBuiltin="1"/>
    <cellStyle name="20% - Accent5 2" xfId="106" xr:uid="{00000000-0005-0000-0000-000011000000}"/>
    <cellStyle name="20% - Accent5 2 2" xfId="107" xr:uid="{00000000-0005-0000-0000-000012000000}"/>
    <cellStyle name="20% - Accent5 3" xfId="4776" xr:uid="{00000000-0005-0000-0000-000013000000}"/>
    <cellStyle name="20% - Accent6" xfId="6" builtinId="50" customBuiltin="1"/>
    <cellStyle name="20% - Accent6 2" xfId="108" xr:uid="{00000000-0005-0000-0000-000015000000}"/>
    <cellStyle name="20% - Accent6 2 2" xfId="109" xr:uid="{00000000-0005-0000-0000-000016000000}"/>
    <cellStyle name="20% - Accent6 3" xfId="4780" xr:uid="{00000000-0005-0000-0000-000017000000}"/>
    <cellStyle name="20% - akcent 1" xfId="110" xr:uid="{00000000-0005-0000-0000-000018000000}"/>
    <cellStyle name="20% - akcent 2" xfId="111" xr:uid="{00000000-0005-0000-0000-000019000000}"/>
    <cellStyle name="20% - akcent 3" xfId="112" xr:uid="{00000000-0005-0000-0000-00001A000000}"/>
    <cellStyle name="20% - akcent 4" xfId="113" xr:uid="{00000000-0005-0000-0000-00001B000000}"/>
    <cellStyle name="20% - akcent 5" xfId="114" xr:uid="{00000000-0005-0000-0000-00001C000000}"/>
    <cellStyle name="20% - akcent 6" xfId="115" xr:uid="{00000000-0005-0000-0000-00001D000000}"/>
    <cellStyle name="40% - Accent1" xfId="7" builtinId="31" customBuiltin="1"/>
    <cellStyle name="40% - Accent1 2" xfId="116" xr:uid="{00000000-0005-0000-0000-00001F000000}"/>
    <cellStyle name="40% - Accent1 2 2" xfId="117" xr:uid="{00000000-0005-0000-0000-000020000000}"/>
    <cellStyle name="40% - Accent1 3" xfId="4761" xr:uid="{00000000-0005-0000-0000-000021000000}"/>
    <cellStyle name="40% - Accent2" xfId="8" builtinId="35" customBuiltin="1"/>
    <cellStyle name="40% - Accent2 2" xfId="118" xr:uid="{00000000-0005-0000-0000-000023000000}"/>
    <cellStyle name="40% - Accent2 2 2" xfId="119" xr:uid="{00000000-0005-0000-0000-000024000000}"/>
    <cellStyle name="40% - Accent2 3" xfId="4765" xr:uid="{00000000-0005-0000-0000-000025000000}"/>
    <cellStyle name="40% - Accent3" xfId="9" builtinId="39" customBuiltin="1"/>
    <cellStyle name="40% - Accent3 2" xfId="120" xr:uid="{00000000-0005-0000-0000-000027000000}"/>
    <cellStyle name="40% - Accent3 2 2" xfId="121" xr:uid="{00000000-0005-0000-0000-000028000000}"/>
    <cellStyle name="40% - Accent3 3" xfId="4769" xr:uid="{00000000-0005-0000-0000-000029000000}"/>
    <cellStyle name="40% - Accent4" xfId="10" builtinId="43" customBuiltin="1"/>
    <cellStyle name="40% - Accent4 2" xfId="122" xr:uid="{00000000-0005-0000-0000-00002B000000}"/>
    <cellStyle name="40% - Accent4 2 2" xfId="123" xr:uid="{00000000-0005-0000-0000-00002C000000}"/>
    <cellStyle name="40% - Accent4 3" xfId="4773" xr:uid="{00000000-0005-0000-0000-00002D000000}"/>
    <cellStyle name="40% - Accent5" xfId="11" builtinId="47" customBuiltin="1"/>
    <cellStyle name="40% - Accent5 2" xfId="124" xr:uid="{00000000-0005-0000-0000-00002F000000}"/>
    <cellStyle name="40% - Accent5 2 2" xfId="125" xr:uid="{00000000-0005-0000-0000-000030000000}"/>
    <cellStyle name="40% - Accent5 3" xfId="4777" xr:uid="{00000000-0005-0000-0000-000031000000}"/>
    <cellStyle name="40% - Accent6" xfId="12" builtinId="51" customBuiltin="1"/>
    <cellStyle name="40% - Accent6 2" xfId="126" xr:uid="{00000000-0005-0000-0000-000033000000}"/>
    <cellStyle name="40% - Accent6 2 2" xfId="127" xr:uid="{00000000-0005-0000-0000-000034000000}"/>
    <cellStyle name="40% - Accent6 3" xfId="4781" xr:uid="{00000000-0005-0000-0000-000035000000}"/>
    <cellStyle name="40% - akcent 1" xfId="128" xr:uid="{00000000-0005-0000-0000-000036000000}"/>
    <cellStyle name="40% - akcent 2" xfId="129" xr:uid="{00000000-0005-0000-0000-000037000000}"/>
    <cellStyle name="40% - akcent 3" xfId="130" xr:uid="{00000000-0005-0000-0000-000038000000}"/>
    <cellStyle name="40% - akcent 4" xfId="131" xr:uid="{00000000-0005-0000-0000-000039000000}"/>
    <cellStyle name="40% - akcent 5" xfId="132" xr:uid="{00000000-0005-0000-0000-00003A000000}"/>
    <cellStyle name="40% - akcent 6" xfId="133" xr:uid="{00000000-0005-0000-0000-00003B000000}"/>
    <cellStyle name="60% - Accent1" xfId="13" builtinId="32" customBuiltin="1"/>
    <cellStyle name="60% - Accent1 2" xfId="134" xr:uid="{00000000-0005-0000-0000-00003D000000}"/>
    <cellStyle name="60% - Accent1 2 2" xfId="135" xr:uid="{00000000-0005-0000-0000-00003E000000}"/>
    <cellStyle name="60% - Accent1 3" xfId="4762" xr:uid="{00000000-0005-0000-0000-00003F000000}"/>
    <cellStyle name="60% - Accent2" xfId="14" builtinId="36" customBuiltin="1"/>
    <cellStyle name="60% - Accent2 2" xfId="136" xr:uid="{00000000-0005-0000-0000-000041000000}"/>
    <cellStyle name="60% - Accent2 2 2" xfId="137" xr:uid="{00000000-0005-0000-0000-000042000000}"/>
    <cellStyle name="60% - Accent2 3" xfId="4766" xr:uid="{00000000-0005-0000-0000-000043000000}"/>
    <cellStyle name="60% - Accent3" xfId="15" builtinId="40" customBuiltin="1"/>
    <cellStyle name="60% - Accent3 2" xfId="138" xr:uid="{00000000-0005-0000-0000-000045000000}"/>
    <cellStyle name="60% - Accent3 2 2" xfId="139" xr:uid="{00000000-0005-0000-0000-000046000000}"/>
    <cellStyle name="60% - Accent3 3" xfId="4770" xr:uid="{00000000-0005-0000-0000-000047000000}"/>
    <cellStyle name="60% - Accent4" xfId="16" builtinId="44" customBuiltin="1"/>
    <cellStyle name="60% - Accent4 2" xfId="140" xr:uid="{00000000-0005-0000-0000-000049000000}"/>
    <cellStyle name="60% - Accent4 2 2" xfId="141" xr:uid="{00000000-0005-0000-0000-00004A000000}"/>
    <cellStyle name="60% - Accent4 3" xfId="4774" xr:uid="{00000000-0005-0000-0000-00004B000000}"/>
    <cellStyle name="60% - Accent5" xfId="17" builtinId="48" customBuiltin="1"/>
    <cellStyle name="60% - Accent5 2" xfId="142" xr:uid="{00000000-0005-0000-0000-00004D000000}"/>
    <cellStyle name="60% - Accent5 2 2" xfId="143" xr:uid="{00000000-0005-0000-0000-00004E000000}"/>
    <cellStyle name="60% - Accent5 3" xfId="4778" xr:uid="{00000000-0005-0000-0000-00004F000000}"/>
    <cellStyle name="60% - Accent6" xfId="18" builtinId="52" customBuiltin="1"/>
    <cellStyle name="60% - Accent6 2" xfId="144" xr:uid="{00000000-0005-0000-0000-000051000000}"/>
    <cellStyle name="60% - Accent6 2 2" xfId="145" xr:uid="{00000000-0005-0000-0000-000052000000}"/>
    <cellStyle name="60% - Accent6 3" xfId="4782" xr:uid="{00000000-0005-0000-0000-000053000000}"/>
    <cellStyle name="60% - akcent 1" xfId="146" xr:uid="{00000000-0005-0000-0000-000054000000}"/>
    <cellStyle name="60% - akcent 2" xfId="147" xr:uid="{00000000-0005-0000-0000-000055000000}"/>
    <cellStyle name="60% - akcent 3" xfId="148" xr:uid="{00000000-0005-0000-0000-000056000000}"/>
    <cellStyle name="60% - akcent 4" xfId="149" xr:uid="{00000000-0005-0000-0000-000057000000}"/>
    <cellStyle name="60% - akcent 5" xfId="150" xr:uid="{00000000-0005-0000-0000-000058000000}"/>
    <cellStyle name="60% - akcent 6" xfId="151" xr:uid="{00000000-0005-0000-0000-000059000000}"/>
    <cellStyle name="Accent1" xfId="19" builtinId="29" customBuiltin="1"/>
    <cellStyle name="Accent1 2" xfId="152" xr:uid="{00000000-0005-0000-0000-00005B000000}"/>
    <cellStyle name="Accent1 2 2" xfId="153" xr:uid="{00000000-0005-0000-0000-00005C000000}"/>
    <cellStyle name="Accent1 3" xfId="4759" xr:uid="{00000000-0005-0000-0000-00005D000000}"/>
    <cellStyle name="Accent2" xfId="20" builtinId="33" customBuiltin="1"/>
    <cellStyle name="Accent2 2" xfId="154" xr:uid="{00000000-0005-0000-0000-00005F000000}"/>
    <cellStyle name="Accent2 2 2" xfId="155" xr:uid="{00000000-0005-0000-0000-000060000000}"/>
    <cellStyle name="Accent2 3" xfId="4763" xr:uid="{00000000-0005-0000-0000-000061000000}"/>
    <cellStyle name="Accent3" xfId="21" builtinId="37" customBuiltin="1"/>
    <cellStyle name="Accent3 2" xfId="156" xr:uid="{00000000-0005-0000-0000-000063000000}"/>
    <cellStyle name="Accent3 2 2" xfId="157" xr:uid="{00000000-0005-0000-0000-000064000000}"/>
    <cellStyle name="Accent3 3" xfId="4767" xr:uid="{00000000-0005-0000-0000-000065000000}"/>
    <cellStyle name="Accent4" xfId="22" builtinId="41" customBuiltin="1"/>
    <cellStyle name="Accent4 2" xfId="158" xr:uid="{00000000-0005-0000-0000-000067000000}"/>
    <cellStyle name="Accent4 2 2" xfId="159" xr:uid="{00000000-0005-0000-0000-000068000000}"/>
    <cellStyle name="Accent4 3" xfId="4771" xr:uid="{00000000-0005-0000-0000-000069000000}"/>
    <cellStyle name="Accent5" xfId="23" builtinId="45" customBuiltin="1"/>
    <cellStyle name="Accent5 2" xfId="160" xr:uid="{00000000-0005-0000-0000-00006B000000}"/>
    <cellStyle name="Accent5 2 2" xfId="161" xr:uid="{00000000-0005-0000-0000-00006C000000}"/>
    <cellStyle name="Accent5 3" xfId="4775" xr:uid="{00000000-0005-0000-0000-00006D000000}"/>
    <cellStyle name="Accent6" xfId="24" builtinId="49" customBuiltin="1"/>
    <cellStyle name="Accent6 2" xfId="162" xr:uid="{00000000-0005-0000-0000-00006F000000}"/>
    <cellStyle name="Accent6 2 2" xfId="163" xr:uid="{00000000-0005-0000-0000-000070000000}"/>
    <cellStyle name="Accent6 3" xfId="4779" xr:uid="{00000000-0005-0000-0000-000071000000}"/>
    <cellStyle name="Akcent 1" xfId="164" xr:uid="{00000000-0005-0000-0000-000072000000}"/>
    <cellStyle name="Akcent 2" xfId="165" xr:uid="{00000000-0005-0000-0000-000073000000}"/>
    <cellStyle name="Akcent 3" xfId="166" xr:uid="{00000000-0005-0000-0000-000074000000}"/>
    <cellStyle name="Akcent 4" xfId="167" xr:uid="{00000000-0005-0000-0000-000075000000}"/>
    <cellStyle name="Akcent 5" xfId="168" xr:uid="{00000000-0005-0000-0000-000076000000}"/>
    <cellStyle name="Akcent 6" xfId="169" xr:uid="{00000000-0005-0000-0000-000077000000}"/>
    <cellStyle name="Bad" xfId="25" builtinId="27" customBuiltin="1"/>
    <cellStyle name="Bad 2" xfId="170" xr:uid="{00000000-0005-0000-0000-000079000000}"/>
    <cellStyle name="Bad 2 2" xfId="171" xr:uid="{00000000-0005-0000-0000-00007A000000}"/>
    <cellStyle name="Bad 3" xfId="4748" xr:uid="{00000000-0005-0000-0000-00007B000000}"/>
    <cellStyle name="BottomTotalRow1" xfId="76" xr:uid="{00000000-0005-0000-0000-00007C000000}"/>
    <cellStyle name="Calculation" xfId="26" builtinId="22" customBuiltin="1"/>
    <cellStyle name="Calculation 2" xfId="172" xr:uid="{00000000-0005-0000-0000-00007E000000}"/>
    <cellStyle name="Calculation 2 10" xfId="173" xr:uid="{00000000-0005-0000-0000-00007F000000}"/>
    <cellStyle name="Calculation 2 10 10" xfId="174" xr:uid="{00000000-0005-0000-0000-000080000000}"/>
    <cellStyle name="Calculation 2 10 10 2" xfId="2581" xr:uid="{00000000-0005-0000-0000-000081000000}"/>
    <cellStyle name="Calculation 2 10 10 3" xfId="3156" xr:uid="{00000000-0005-0000-0000-000082000000}"/>
    <cellStyle name="Calculation 2 10 11" xfId="175" xr:uid="{00000000-0005-0000-0000-000083000000}"/>
    <cellStyle name="Calculation 2 10 11 2" xfId="2582" xr:uid="{00000000-0005-0000-0000-000084000000}"/>
    <cellStyle name="Calculation 2 10 11 3" xfId="2483" xr:uid="{00000000-0005-0000-0000-000085000000}"/>
    <cellStyle name="Calculation 2 10 12" xfId="176" xr:uid="{00000000-0005-0000-0000-000086000000}"/>
    <cellStyle name="Calculation 2 10 12 2" xfId="2583" xr:uid="{00000000-0005-0000-0000-000087000000}"/>
    <cellStyle name="Calculation 2 10 12 3" xfId="3155" xr:uid="{00000000-0005-0000-0000-000088000000}"/>
    <cellStyle name="Calculation 2 10 13" xfId="177" xr:uid="{00000000-0005-0000-0000-000089000000}"/>
    <cellStyle name="Calculation 2 10 13 2" xfId="2584" xr:uid="{00000000-0005-0000-0000-00008A000000}"/>
    <cellStyle name="Calculation 2 10 13 3" xfId="2497" xr:uid="{00000000-0005-0000-0000-00008B000000}"/>
    <cellStyle name="Calculation 2 10 14" xfId="178" xr:uid="{00000000-0005-0000-0000-00008C000000}"/>
    <cellStyle name="Calculation 2 10 14 2" xfId="2585" xr:uid="{00000000-0005-0000-0000-00008D000000}"/>
    <cellStyle name="Calculation 2 10 14 3" xfId="3154" xr:uid="{00000000-0005-0000-0000-00008E000000}"/>
    <cellStyle name="Calculation 2 10 15" xfId="179" xr:uid="{00000000-0005-0000-0000-00008F000000}"/>
    <cellStyle name="Calculation 2 10 15 2" xfId="2586" xr:uid="{00000000-0005-0000-0000-000090000000}"/>
    <cellStyle name="Calculation 2 10 15 3" xfId="2482" xr:uid="{00000000-0005-0000-0000-000091000000}"/>
    <cellStyle name="Calculation 2 10 16" xfId="180" xr:uid="{00000000-0005-0000-0000-000092000000}"/>
    <cellStyle name="Calculation 2 10 16 2" xfId="2587" xr:uid="{00000000-0005-0000-0000-000093000000}"/>
    <cellStyle name="Calculation 2 10 16 3" xfId="3153" xr:uid="{00000000-0005-0000-0000-000094000000}"/>
    <cellStyle name="Calculation 2 10 17" xfId="181" xr:uid="{00000000-0005-0000-0000-000095000000}"/>
    <cellStyle name="Calculation 2 10 17 2" xfId="2588" xr:uid="{00000000-0005-0000-0000-000096000000}"/>
    <cellStyle name="Calculation 2 10 17 3" xfId="3152" xr:uid="{00000000-0005-0000-0000-000097000000}"/>
    <cellStyle name="Calculation 2 10 18" xfId="182" xr:uid="{00000000-0005-0000-0000-000098000000}"/>
    <cellStyle name="Calculation 2 10 18 2" xfId="2589" xr:uid="{00000000-0005-0000-0000-000099000000}"/>
    <cellStyle name="Calculation 2 10 18 3" xfId="3013" xr:uid="{00000000-0005-0000-0000-00009A000000}"/>
    <cellStyle name="Calculation 2 10 19" xfId="183" xr:uid="{00000000-0005-0000-0000-00009B000000}"/>
    <cellStyle name="Calculation 2 10 19 2" xfId="2590" xr:uid="{00000000-0005-0000-0000-00009C000000}"/>
    <cellStyle name="Calculation 2 10 19 3" xfId="3012" xr:uid="{00000000-0005-0000-0000-00009D000000}"/>
    <cellStyle name="Calculation 2 10 2" xfId="184" xr:uid="{00000000-0005-0000-0000-00009E000000}"/>
    <cellStyle name="Calculation 2 10 2 2" xfId="2591" xr:uid="{00000000-0005-0000-0000-00009F000000}"/>
    <cellStyle name="Calculation 2 10 2 3" xfId="3011" xr:uid="{00000000-0005-0000-0000-0000A0000000}"/>
    <cellStyle name="Calculation 2 10 20" xfId="185" xr:uid="{00000000-0005-0000-0000-0000A1000000}"/>
    <cellStyle name="Calculation 2 10 20 2" xfId="2592" xr:uid="{00000000-0005-0000-0000-0000A2000000}"/>
    <cellStyle name="Calculation 2 10 20 3" xfId="3010" xr:uid="{00000000-0005-0000-0000-0000A3000000}"/>
    <cellStyle name="Calculation 2 10 21" xfId="186" xr:uid="{00000000-0005-0000-0000-0000A4000000}"/>
    <cellStyle name="Calculation 2 10 21 2" xfId="2593" xr:uid="{00000000-0005-0000-0000-0000A5000000}"/>
    <cellStyle name="Calculation 2 10 21 3" xfId="3009" xr:uid="{00000000-0005-0000-0000-0000A6000000}"/>
    <cellStyle name="Calculation 2 10 22" xfId="187" xr:uid="{00000000-0005-0000-0000-0000A7000000}"/>
    <cellStyle name="Calculation 2 10 22 2" xfId="2594" xr:uid="{00000000-0005-0000-0000-0000A8000000}"/>
    <cellStyle name="Calculation 2 10 22 3" xfId="3008" xr:uid="{00000000-0005-0000-0000-0000A9000000}"/>
    <cellStyle name="Calculation 2 10 23" xfId="188" xr:uid="{00000000-0005-0000-0000-0000AA000000}"/>
    <cellStyle name="Calculation 2 10 23 2" xfId="2595" xr:uid="{00000000-0005-0000-0000-0000AB000000}"/>
    <cellStyle name="Calculation 2 10 23 3" xfId="4735" xr:uid="{00000000-0005-0000-0000-0000AC000000}"/>
    <cellStyle name="Calculation 2 10 24" xfId="2580" xr:uid="{00000000-0005-0000-0000-0000AD000000}"/>
    <cellStyle name="Calculation 2 10 25" xfId="3157" xr:uid="{00000000-0005-0000-0000-0000AE000000}"/>
    <cellStyle name="Calculation 2 10 3" xfId="189" xr:uid="{00000000-0005-0000-0000-0000AF000000}"/>
    <cellStyle name="Calculation 2 10 3 2" xfId="2596" xr:uid="{00000000-0005-0000-0000-0000B0000000}"/>
    <cellStyle name="Calculation 2 10 3 3" xfId="3007" xr:uid="{00000000-0005-0000-0000-0000B1000000}"/>
    <cellStyle name="Calculation 2 10 4" xfId="190" xr:uid="{00000000-0005-0000-0000-0000B2000000}"/>
    <cellStyle name="Calculation 2 10 4 2" xfId="2597" xr:uid="{00000000-0005-0000-0000-0000B3000000}"/>
    <cellStyle name="Calculation 2 10 4 3" xfId="3006" xr:uid="{00000000-0005-0000-0000-0000B4000000}"/>
    <cellStyle name="Calculation 2 10 5" xfId="191" xr:uid="{00000000-0005-0000-0000-0000B5000000}"/>
    <cellStyle name="Calculation 2 10 5 2" xfId="2598" xr:uid="{00000000-0005-0000-0000-0000B6000000}"/>
    <cellStyle name="Calculation 2 10 5 3" xfId="3005" xr:uid="{00000000-0005-0000-0000-0000B7000000}"/>
    <cellStyle name="Calculation 2 10 6" xfId="192" xr:uid="{00000000-0005-0000-0000-0000B8000000}"/>
    <cellStyle name="Calculation 2 10 6 2" xfId="2599" xr:uid="{00000000-0005-0000-0000-0000B9000000}"/>
    <cellStyle name="Calculation 2 10 6 3" xfId="3004" xr:uid="{00000000-0005-0000-0000-0000BA000000}"/>
    <cellStyle name="Calculation 2 10 7" xfId="193" xr:uid="{00000000-0005-0000-0000-0000BB000000}"/>
    <cellStyle name="Calculation 2 10 7 2" xfId="2600" xr:uid="{00000000-0005-0000-0000-0000BC000000}"/>
    <cellStyle name="Calculation 2 10 7 3" xfId="3003" xr:uid="{00000000-0005-0000-0000-0000BD000000}"/>
    <cellStyle name="Calculation 2 10 8" xfId="194" xr:uid="{00000000-0005-0000-0000-0000BE000000}"/>
    <cellStyle name="Calculation 2 10 8 2" xfId="2601" xr:uid="{00000000-0005-0000-0000-0000BF000000}"/>
    <cellStyle name="Calculation 2 10 8 3" xfId="3002" xr:uid="{00000000-0005-0000-0000-0000C0000000}"/>
    <cellStyle name="Calculation 2 10 9" xfId="195" xr:uid="{00000000-0005-0000-0000-0000C1000000}"/>
    <cellStyle name="Calculation 2 10 9 2" xfId="2602" xr:uid="{00000000-0005-0000-0000-0000C2000000}"/>
    <cellStyle name="Calculation 2 10 9 3" xfId="3001" xr:uid="{00000000-0005-0000-0000-0000C3000000}"/>
    <cellStyle name="Calculation 2 11" xfId="196" xr:uid="{00000000-0005-0000-0000-0000C4000000}"/>
    <cellStyle name="Calculation 2 11 10" xfId="197" xr:uid="{00000000-0005-0000-0000-0000C5000000}"/>
    <cellStyle name="Calculation 2 11 10 2" xfId="2604" xr:uid="{00000000-0005-0000-0000-0000C6000000}"/>
    <cellStyle name="Calculation 2 11 10 3" xfId="2999" xr:uid="{00000000-0005-0000-0000-0000C7000000}"/>
    <cellStyle name="Calculation 2 11 11" xfId="198" xr:uid="{00000000-0005-0000-0000-0000C8000000}"/>
    <cellStyle name="Calculation 2 11 11 2" xfId="2605" xr:uid="{00000000-0005-0000-0000-0000C9000000}"/>
    <cellStyle name="Calculation 2 11 11 3" xfId="2998" xr:uid="{00000000-0005-0000-0000-0000CA000000}"/>
    <cellStyle name="Calculation 2 11 12" xfId="199" xr:uid="{00000000-0005-0000-0000-0000CB000000}"/>
    <cellStyle name="Calculation 2 11 12 2" xfId="2606" xr:uid="{00000000-0005-0000-0000-0000CC000000}"/>
    <cellStyle name="Calculation 2 11 12 3" xfId="2997" xr:uid="{00000000-0005-0000-0000-0000CD000000}"/>
    <cellStyle name="Calculation 2 11 13" xfId="200" xr:uid="{00000000-0005-0000-0000-0000CE000000}"/>
    <cellStyle name="Calculation 2 11 13 2" xfId="2607" xr:uid="{00000000-0005-0000-0000-0000CF000000}"/>
    <cellStyle name="Calculation 2 11 13 3" xfId="2996" xr:uid="{00000000-0005-0000-0000-0000D0000000}"/>
    <cellStyle name="Calculation 2 11 14" xfId="201" xr:uid="{00000000-0005-0000-0000-0000D1000000}"/>
    <cellStyle name="Calculation 2 11 14 2" xfId="2608" xr:uid="{00000000-0005-0000-0000-0000D2000000}"/>
    <cellStyle name="Calculation 2 11 14 3" xfId="2995" xr:uid="{00000000-0005-0000-0000-0000D3000000}"/>
    <cellStyle name="Calculation 2 11 15" xfId="202" xr:uid="{00000000-0005-0000-0000-0000D4000000}"/>
    <cellStyle name="Calculation 2 11 15 2" xfId="2609" xr:uid="{00000000-0005-0000-0000-0000D5000000}"/>
    <cellStyle name="Calculation 2 11 15 3" xfId="2994" xr:uid="{00000000-0005-0000-0000-0000D6000000}"/>
    <cellStyle name="Calculation 2 11 16" xfId="203" xr:uid="{00000000-0005-0000-0000-0000D7000000}"/>
    <cellStyle name="Calculation 2 11 16 2" xfId="2610" xr:uid="{00000000-0005-0000-0000-0000D8000000}"/>
    <cellStyle name="Calculation 2 11 16 3" xfId="2993" xr:uid="{00000000-0005-0000-0000-0000D9000000}"/>
    <cellStyle name="Calculation 2 11 17" xfId="204" xr:uid="{00000000-0005-0000-0000-0000DA000000}"/>
    <cellStyle name="Calculation 2 11 17 2" xfId="2611" xr:uid="{00000000-0005-0000-0000-0000DB000000}"/>
    <cellStyle name="Calculation 2 11 17 3" xfId="2992" xr:uid="{00000000-0005-0000-0000-0000DC000000}"/>
    <cellStyle name="Calculation 2 11 18" xfId="205" xr:uid="{00000000-0005-0000-0000-0000DD000000}"/>
    <cellStyle name="Calculation 2 11 18 2" xfId="2612" xr:uid="{00000000-0005-0000-0000-0000DE000000}"/>
    <cellStyle name="Calculation 2 11 18 3" xfId="2991" xr:uid="{00000000-0005-0000-0000-0000DF000000}"/>
    <cellStyle name="Calculation 2 11 19" xfId="206" xr:uid="{00000000-0005-0000-0000-0000E0000000}"/>
    <cellStyle name="Calculation 2 11 19 2" xfId="2613" xr:uid="{00000000-0005-0000-0000-0000E1000000}"/>
    <cellStyle name="Calculation 2 11 19 3" xfId="2990" xr:uid="{00000000-0005-0000-0000-0000E2000000}"/>
    <cellStyle name="Calculation 2 11 2" xfId="207" xr:uid="{00000000-0005-0000-0000-0000E3000000}"/>
    <cellStyle name="Calculation 2 11 2 2" xfId="2614" xr:uid="{00000000-0005-0000-0000-0000E4000000}"/>
    <cellStyle name="Calculation 2 11 2 3" xfId="2989" xr:uid="{00000000-0005-0000-0000-0000E5000000}"/>
    <cellStyle name="Calculation 2 11 20" xfId="208" xr:uid="{00000000-0005-0000-0000-0000E6000000}"/>
    <cellStyle name="Calculation 2 11 20 2" xfId="2615" xr:uid="{00000000-0005-0000-0000-0000E7000000}"/>
    <cellStyle name="Calculation 2 11 20 3" xfId="2988" xr:uid="{00000000-0005-0000-0000-0000E8000000}"/>
    <cellStyle name="Calculation 2 11 21" xfId="209" xr:uid="{00000000-0005-0000-0000-0000E9000000}"/>
    <cellStyle name="Calculation 2 11 21 2" xfId="2616" xr:uid="{00000000-0005-0000-0000-0000EA000000}"/>
    <cellStyle name="Calculation 2 11 21 3" xfId="2987" xr:uid="{00000000-0005-0000-0000-0000EB000000}"/>
    <cellStyle name="Calculation 2 11 22" xfId="210" xr:uid="{00000000-0005-0000-0000-0000EC000000}"/>
    <cellStyle name="Calculation 2 11 22 2" xfId="2617" xr:uid="{00000000-0005-0000-0000-0000ED000000}"/>
    <cellStyle name="Calculation 2 11 22 3" xfId="2986" xr:uid="{00000000-0005-0000-0000-0000EE000000}"/>
    <cellStyle name="Calculation 2 11 23" xfId="211" xr:uid="{00000000-0005-0000-0000-0000EF000000}"/>
    <cellStyle name="Calculation 2 11 23 2" xfId="2618" xr:uid="{00000000-0005-0000-0000-0000F0000000}"/>
    <cellStyle name="Calculation 2 11 23 3" xfId="2985" xr:uid="{00000000-0005-0000-0000-0000F1000000}"/>
    <cellStyle name="Calculation 2 11 24" xfId="2603" xr:uid="{00000000-0005-0000-0000-0000F2000000}"/>
    <cellStyle name="Calculation 2 11 25" xfId="3000" xr:uid="{00000000-0005-0000-0000-0000F3000000}"/>
    <cellStyle name="Calculation 2 11 3" xfId="212" xr:uid="{00000000-0005-0000-0000-0000F4000000}"/>
    <cellStyle name="Calculation 2 11 3 2" xfId="2619" xr:uid="{00000000-0005-0000-0000-0000F5000000}"/>
    <cellStyle name="Calculation 2 11 3 3" xfId="2984" xr:uid="{00000000-0005-0000-0000-0000F6000000}"/>
    <cellStyle name="Calculation 2 11 4" xfId="213" xr:uid="{00000000-0005-0000-0000-0000F7000000}"/>
    <cellStyle name="Calculation 2 11 4 2" xfId="2620" xr:uid="{00000000-0005-0000-0000-0000F8000000}"/>
    <cellStyle name="Calculation 2 11 4 3" xfId="4731" xr:uid="{00000000-0005-0000-0000-0000F9000000}"/>
    <cellStyle name="Calculation 2 11 5" xfId="214" xr:uid="{00000000-0005-0000-0000-0000FA000000}"/>
    <cellStyle name="Calculation 2 11 5 2" xfId="2621" xr:uid="{00000000-0005-0000-0000-0000FB000000}"/>
    <cellStyle name="Calculation 2 11 5 3" xfId="2983" xr:uid="{00000000-0005-0000-0000-0000FC000000}"/>
    <cellStyle name="Calculation 2 11 6" xfId="215" xr:uid="{00000000-0005-0000-0000-0000FD000000}"/>
    <cellStyle name="Calculation 2 11 6 2" xfId="2622" xr:uid="{00000000-0005-0000-0000-0000FE000000}"/>
    <cellStyle name="Calculation 2 11 6 3" xfId="2982" xr:uid="{00000000-0005-0000-0000-0000FF000000}"/>
    <cellStyle name="Calculation 2 11 7" xfId="216" xr:uid="{00000000-0005-0000-0000-000000010000}"/>
    <cellStyle name="Calculation 2 11 7 2" xfId="2623" xr:uid="{00000000-0005-0000-0000-000001010000}"/>
    <cellStyle name="Calculation 2 11 7 3" xfId="2981" xr:uid="{00000000-0005-0000-0000-000002010000}"/>
    <cellStyle name="Calculation 2 11 8" xfId="217" xr:uid="{00000000-0005-0000-0000-000003010000}"/>
    <cellStyle name="Calculation 2 11 8 2" xfId="2624" xr:uid="{00000000-0005-0000-0000-000004010000}"/>
    <cellStyle name="Calculation 2 11 8 3" xfId="2980" xr:uid="{00000000-0005-0000-0000-000005010000}"/>
    <cellStyle name="Calculation 2 11 9" xfId="218" xr:uid="{00000000-0005-0000-0000-000006010000}"/>
    <cellStyle name="Calculation 2 11 9 2" xfId="2625" xr:uid="{00000000-0005-0000-0000-000007010000}"/>
    <cellStyle name="Calculation 2 11 9 3" xfId="2979" xr:uid="{00000000-0005-0000-0000-000008010000}"/>
    <cellStyle name="Calculation 2 12" xfId="219" xr:uid="{00000000-0005-0000-0000-000009010000}"/>
    <cellStyle name="Calculation 2 12 10" xfId="220" xr:uid="{00000000-0005-0000-0000-00000A010000}"/>
    <cellStyle name="Calculation 2 12 10 2" xfId="2627" xr:uid="{00000000-0005-0000-0000-00000B010000}"/>
    <cellStyle name="Calculation 2 12 10 3" xfId="2977" xr:uid="{00000000-0005-0000-0000-00000C010000}"/>
    <cellStyle name="Calculation 2 12 11" xfId="221" xr:uid="{00000000-0005-0000-0000-00000D010000}"/>
    <cellStyle name="Calculation 2 12 11 2" xfId="2628" xr:uid="{00000000-0005-0000-0000-00000E010000}"/>
    <cellStyle name="Calculation 2 12 11 3" xfId="2976" xr:uid="{00000000-0005-0000-0000-00000F010000}"/>
    <cellStyle name="Calculation 2 12 12" xfId="222" xr:uid="{00000000-0005-0000-0000-000010010000}"/>
    <cellStyle name="Calculation 2 12 12 2" xfId="2629" xr:uid="{00000000-0005-0000-0000-000011010000}"/>
    <cellStyle name="Calculation 2 12 12 3" xfId="4730" xr:uid="{00000000-0005-0000-0000-000012010000}"/>
    <cellStyle name="Calculation 2 12 13" xfId="223" xr:uid="{00000000-0005-0000-0000-000013010000}"/>
    <cellStyle name="Calculation 2 12 13 2" xfId="2630" xr:uid="{00000000-0005-0000-0000-000014010000}"/>
    <cellStyle name="Calculation 2 12 13 3" xfId="2975" xr:uid="{00000000-0005-0000-0000-000015010000}"/>
    <cellStyle name="Calculation 2 12 14" xfId="224" xr:uid="{00000000-0005-0000-0000-000016010000}"/>
    <cellStyle name="Calculation 2 12 14 2" xfId="2631" xr:uid="{00000000-0005-0000-0000-000017010000}"/>
    <cellStyle name="Calculation 2 12 14 3" xfId="2974" xr:uid="{00000000-0005-0000-0000-000018010000}"/>
    <cellStyle name="Calculation 2 12 15" xfId="225" xr:uid="{00000000-0005-0000-0000-000019010000}"/>
    <cellStyle name="Calculation 2 12 15 2" xfId="2632" xr:uid="{00000000-0005-0000-0000-00001A010000}"/>
    <cellStyle name="Calculation 2 12 15 3" xfId="2973" xr:uid="{00000000-0005-0000-0000-00001B010000}"/>
    <cellStyle name="Calculation 2 12 16" xfId="226" xr:uid="{00000000-0005-0000-0000-00001C010000}"/>
    <cellStyle name="Calculation 2 12 16 2" xfId="2633" xr:uid="{00000000-0005-0000-0000-00001D010000}"/>
    <cellStyle name="Calculation 2 12 16 3" xfId="2972" xr:uid="{00000000-0005-0000-0000-00001E010000}"/>
    <cellStyle name="Calculation 2 12 17" xfId="227" xr:uid="{00000000-0005-0000-0000-00001F010000}"/>
    <cellStyle name="Calculation 2 12 17 2" xfId="2634" xr:uid="{00000000-0005-0000-0000-000020010000}"/>
    <cellStyle name="Calculation 2 12 17 3" xfId="2971" xr:uid="{00000000-0005-0000-0000-000021010000}"/>
    <cellStyle name="Calculation 2 12 18" xfId="228" xr:uid="{00000000-0005-0000-0000-000022010000}"/>
    <cellStyle name="Calculation 2 12 18 2" xfId="2635" xr:uid="{00000000-0005-0000-0000-000023010000}"/>
    <cellStyle name="Calculation 2 12 18 3" xfId="2970" xr:uid="{00000000-0005-0000-0000-000024010000}"/>
    <cellStyle name="Calculation 2 12 19" xfId="229" xr:uid="{00000000-0005-0000-0000-000025010000}"/>
    <cellStyle name="Calculation 2 12 19 2" xfId="2636" xr:uid="{00000000-0005-0000-0000-000026010000}"/>
    <cellStyle name="Calculation 2 12 19 3" xfId="2969" xr:uid="{00000000-0005-0000-0000-000027010000}"/>
    <cellStyle name="Calculation 2 12 2" xfId="230" xr:uid="{00000000-0005-0000-0000-000028010000}"/>
    <cellStyle name="Calculation 2 12 2 2" xfId="2637" xr:uid="{00000000-0005-0000-0000-000029010000}"/>
    <cellStyle name="Calculation 2 12 2 3" xfId="2968" xr:uid="{00000000-0005-0000-0000-00002A010000}"/>
    <cellStyle name="Calculation 2 12 20" xfId="231" xr:uid="{00000000-0005-0000-0000-00002B010000}"/>
    <cellStyle name="Calculation 2 12 20 2" xfId="2638" xr:uid="{00000000-0005-0000-0000-00002C010000}"/>
    <cellStyle name="Calculation 2 12 20 3" xfId="2967" xr:uid="{00000000-0005-0000-0000-00002D010000}"/>
    <cellStyle name="Calculation 2 12 21" xfId="232" xr:uid="{00000000-0005-0000-0000-00002E010000}"/>
    <cellStyle name="Calculation 2 12 21 2" xfId="2639" xr:uid="{00000000-0005-0000-0000-00002F010000}"/>
    <cellStyle name="Calculation 2 12 21 3" xfId="2966" xr:uid="{00000000-0005-0000-0000-000030010000}"/>
    <cellStyle name="Calculation 2 12 22" xfId="233" xr:uid="{00000000-0005-0000-0000-000031010000}"/>
    <cellStyle name="Calculation 2 12 22 2" xfId="2640" xr:uid="{00000000-0005-0000-0000-000032010000}"/>
    <cellStyle name="Calculation 2 12 22 3" xfId="2965" xr:uid="{00000000-0005-0000-0000-000033010000}"/>
    <cellStyle name="Calculation 2 12 23" xfId="234" xr:uid="{00000000-0005-0000-0000-000034010000}"/>
    <cellStyle name="Calculation 2 12 23 2" xfId="2641" xr:uid="{00000000-0005-0000-0000-000035010000}"/>
    <cellStyle name="Calculation 2 12 23 3" xfId="2964" xr:uid="{00000000-0005-0000-0000-000036010000}"/>
    <cellStyle name="Calculation 2 12 24" xfId="2626" xr:uid="{00000000-0005-0000-0000-000037010000}"/>
    <cellStyle name="Calculation 2 12 25" xfId="2978" xr:uid="{00000000-0005-0000-0000-000038010000}"/>
    <cellStyle name="Calculation 2 12 3" xfId="235" xr:uid="{00000000-0005-0000-0000-000039010000}"/>
    <cellStyle name="Calculation 2 12 3 2" xfId="2642" xr:uid="{00000000-0005-0000-0000-00003A010000}"/>
    <cellStyle name="Calculation 2 12 3 3" xfId="2963" xr:uid="{00000000-0005-0000-0000-00003B010000}"/>
    <cellStyle name="Calculation 2 12 4" xfId="236" xr:uid="{00000000-0005-0000-0000-00003C010000}"/>
    <cellStyle name="Calculation 2 12 4 2" xfId="2643" xr:uid="{00000000-0005-0000-0000-00003D010000}"/>
    <cellStyle name="Calculation 2 12 4 3" xfId="2962" xr:uid="{00000000-0005-0000-0000-00003E010000}"/>
    <cellStyle name="Calculation 2 12 5" xfId="237" xr:uid="{00000000-0005-0000-0000-00003F010000}"/>
    <cellStyle name="Calculation 2 12 5 2" xfId="2644" xr:uid="{00000000-0005-0000-0000-000040010000}"/>
    <cellStyle name="Calculation 2 12 5 3" xfId="2961" xr:uid="{00000000-0005-0000-0000-000041010000}"/>
    <cellStyle name="Calculation 2 12 6" xfId="238" xr:uid="{00000000-0005-0000-0000-000042010000}"/>
    <cellStyle name="Calculation 2 12 6 2" xfId="2645" xr:uid="{00000000-0005-0000-0000-000043010000}"/>
    <cellStyle name="Calculation 2 12 6 3" xfId="2960" xr:uid="{00000000-0005-0000-0000-000044010000}"/>
    <cellStyle name="Calculation 2 12 7" xfId="239" xr:uid="{00000000-0005-0000-0000-000045010000}"/>
    <cellStyle name="Calculation 2 12 7 2" xfId="2646" xr:uid="{00000000-0005-0000-0000-000046010000}"/>
    <cellStyle name="Calculation 2 12 7 3" xfId="2959" xr:uid="{00000000-0005-0000-0000-000047010000}"/>
    <cellStyle name="Calculation 2 12 8" xfId="240" xr:uid="{00000000-0005-0000-0000-000048010000}"/>
    <cellStyle name="Calculation 2 12 8 2" xfId="2647" xr:uid="{00000000-0005-0000-0000-000049010000}"/>
    <cellStyle name="Calculation 2 12 8 3" xfId="2958" xr:uid="{00000000-0005-0000-0000-00004A010000}"/>
    <cellStyle name="Calculation 2 12 9" xfId="241" xr:uid="{00000000-0005-0000-0000-00004B010000}"/>
    <cellStyle name="Calculation 2 12 9 2" xfId="2648" xr:uid="{00000000-0005-0000-0000-00004C010000}"/>
    <cellStyle name="Calculation 2 12 9 3" xfId="2957" xr:uid="{00000000-0005-0000-0000-00004D010000}"/>
    <cellStyle name="Calculation 2 13" xfId="242" xr:uid="{00000000-0005-0000-0000-00004E010000}"/>
    <cellStyle name="Calculation 2 13 10" xfId="243" xr:uid="{00000000-0005-0000-0000-00004F010000}"/>
    <cellStyle name="Calculation 2 13 10 2" xfId="2650" xr:uid="{00000000-0005-0000-0000-000050010000}"/>
    <cellStyle name="Calculation 2 13 10 3" xfId="2955" xr:uid="{00000000-0005-0000-0000-000051010000}"/>
    <cellStyle name="Calculation 2 13 11" xfId="244" xr:uid="{00000000-0005-0000-0000-000052010000}"/>
    <cellStyle name="Calculation 2 13 11 2" xfId="2651" xr:uid="{00000000-0005-0000-0000-000053010000}"/>
    <cellStyle name="Calculation 2 13 11 3" xfId="2954" xr:uid="{00000000-0005-0000-0000-000054010000}"/>
    <cellStyle name="Calculation 2 13 12" xfId="245" xr:uid="{00000000-0005-0000-0000-000055010000}"/>
    <cellStyle name="Calculation 2 13 12 2" xfId="2652" xr:uid="{00000000-0005-0000-0000-000056010000}"/>
    <cellStyle name="Calculation 2 13 12 3" xfId="2953" xr:uid="{00000000-0005-0000-0000-000057010000}"/>
    <cellStyle name="Calculation 2 13 13" xfId="246" xr:uid="{00000000-0005-0000-0000-000058010000}"/>
    <cellStyle name="Calculation 2 13 13 2" xfId="2653" xr:uid="{00000000-0005-0000-0000-000059010000}"/>
    <cellStyle name="Calculation 2 13 13 3" xfId="2952" xr:uid="{00000000-0005-0000-0000-00005A010000}"/>
    <cellStyle name="Calculation 2 13 14" xfId="247" xr:uid="{00000000-0005-0000-0000-00005B010000}"/>
    <cellStyle name="Calculation 2 13 14 2" xfId="2654" xr:uid="{00000000-0005-0000-0000-00005C010000}"/>
    <cellStyle name="Calculation 2 13 14 3" xfId="2951" xr:uid="{00000000-0005-0000-0000-00005D010000}"/>
    <cellStyle name="Calculation 2 13 15" xfId="248" xr:uid="{00000000-0005-0000-0000-00005E010000}"/>
    <cellStyle name="Calculation 2 13 15 2" xfId="2655" xr:uid="{00000000-0005-0000-0000-00005F010000}"/>
    <cellStyle name="Calculation 2 13 15 3" xfId="2950" xr:uid="{00000000-0005-0000-0000-000060010000}"/>
    <cellStyle name="Calculation 2 13 16" xfId="249" xr:uid="{00000000-0005-0000-0000-000061010000}"/>
    <cellStyle name="Calculation 2 13 16 2" xfId="2656" xr:uid="{00000000-0005-0000-0000-000062010000}"/>
    <cellStyle name="Calculation 2 13 16 3" xfId="2949" xr:uid="{00000000-0005-0000-0000-000063010000}"/>
    <cellStyle name="Calculation 2 13 17" xfId="250" xr:uid="{00000000-0005-0000-0000-000064010000}"/>
    <cellStyle name="Calculation 2 13 17 2" xfId="2657" xr:uid="{00000000-0005-0000-0000-000065010000}"/>
    <cellStyle name="Calculation 2 13 17 3" xfId="2948" xr:uid="{00000000-0005-0000-0000-000066010000}"/>
    <cellStyle name="Calculation 2 13 18" xfId="251" xr:uid="{00000000-0005-0000-0000-000067010000}"/>
    <cellStyle name="Calculation 2 13 18 2" xfId="2658" xr:uid="{00000000-0005-0000-0000-000068010000}"/>
    <cellStyle name="Calculation 2 13 18 3" xfId="2947" xr:uid="{00000000-0005-0000-0000-000069010000}"/>
    <cellStyle name="Calculation 2 13 19" xfId="252" xr:uid="{00000000-0005-0000-0000-00006A010000}"/>
    <cellStyle name="Calculation 2 13 19 2" xfId="2659" xr:uid="{00000000-0005-0000-0000-00006B010000}"/>
    <cellStyle name="Calculation 2 13 19 3" xfId="2946" xr:uid="{00000000-0005-0000-0000-00006C010000}"/>
    <cellStyle name="Calculation 2 13 2" xfId="253" xr:uid="{00000000-0005-0000-0000-00006D010000}"/>
    <cellStyle name="Calculation 2 13 2 2" xfId="2660" xr:uid="{00000000-0005-0000-0000-00006E010000}"/>
    <cellStyle name="Calculation 2 13 2 3" xfId="2945" xr:uid="{00000000-0005-0000-0000-00006F010000}"/>
    <cellStyle name="Calculation 2 13 20" xfId="254" xr:uid="{00000000-0005-0000-0000-000070010000}"/>
    <cellStyle name="Calculation 2 13 20 2" xfId="2661" xr:uid="{00000000-0005-0000-0000-000071010000}"/>
    <cellStyle name="Calculation 2 13 20 3" xfId="2944" xr:uid="{00000000-0005-0000-0000-000072010000}"/>
    <cellStyle name="Calculation 2 13 21" xfId="255" xr:uid="{00000000-0005-0000-0000-000073010000}"/>
    <cellStyle name="Calculation 2 13 21 2" xfId="2662" xr:uid="{00000000-0005-0000-0000-000074010000}"/>
    <cellStyle name="Calculation 2 13 21 3" xfId="2943" xr:uid="{00000000-0005-0000-0000-000075010000}"/>
    <cellStyle name="Calculation 2 13 22" xfId="256" xr:uid="{00000000-0005-0000-0000-000076010000}"/>
    <cellStyle name="Calculation 2 13 22 2" xfId="2663" xr:uid="{00000000-0005-0000-0000-000077010000}"/>
    <cellStyle name="Calculation 2 13 22 3" xfId="2942" xr:uid="{00000000-0005-0000-0000-000078010000}"/>
    <cellStyle name="Calculation 2 13 23" xfId="257" xr:uid="{00000000-0005-0000-0000-000079010000}"/>
    <cellStyle name="Calculation 2 13 23 2" xfId="2664" xr:uid="{00000000-0005-0000-0000-00007A010000}"/>
    <cellStyle name="Calculation 2 13 23 3" xfId="2941" xr:uid="{00000000-0005-0000-0000-00007B010000}"/>
    <cellStyle name="Calculation 2 13 24" xfId="2649" xr:uid="{00000000-0005-0000-0000-00007C010000}"/>
    <cellStyle name="Calculation 2 13 25" xfId="2956" xr:uid="{00000000-0005-0000-0000-00007D010000}"/>
    <cellStyle name="Calculation 2 13 3" xfId="258" xr:uid="{00000000-0005-0000-0000-00007E010000}"/>
    <cellStyle name="Calculation 2 13 3 2" xfId="2665" xr:uid="{00000000-0005-0000-0000-00007F010000}"/>
    <cellStyle name="Calculation 2 13 3 3" xfId="2940" xr:uid="{00000000-0005-0000-0000-000080010000}"/>
    <cellStyle name="Calculation 2 13 4" xfId="259" xr:uid="{00000000-0005-0000-0000-000081010000}"/>
    <cellStyle name="Calculation 2 13 4 2" xfId="2666" xr:uid="{00000000-0005-0000-0000-000082010000}"/>
    <cellStyle name="Calculation 2 13 4 3" xfId="2939" xr:uid="{00000000-0005-0000-0000-000083010000}"/>
    <cellStyle name="Calculation 2 13 5" xfId="260" xr:uid="{00000000-0005-0000-0000-000084010000}"/>
    <cellStyle name="Calculation 2 13 5 2" xfId="2667" xr:uid="{00000000-0005-0000-0000-000085010000}"/>
    <cellStyle name="Calculation 2 13 5 3" xfId="2938" xr:uid="{00000000-0005-0000-0000-000086010000}"/>
    <cellStyle name="Calculation 2 13 6" xfId="261" xr:uid="{00000000-0005-0000-0000-000087010000}"/>
    <cellStyle name="Calculation 2 13 6 2" xfId="2668" xr:uid="{00000000-0005-0000-0000-000088010000}"/>
    <cellStyle name="Calculation 2 13 6 3" xfId="2937" xr:uid="{00000000-0005-0000-0000-000089010000}"/>
    <cellStyle name="Calculation 2 13 7" xfId="262" xr:uid="{00000000-0005-0000-0000-00008A010000}"/>
    <cellStyle name="Calculation 2 13 7 2" xfId="2669" xr:uid="{00000000-0005-0000-0000-00008B010000}"/>
    <cellStyle name="Calculation 2 13 7 3" xfId="2936" xr:uid="{00000000-0005-0000-0000-00008C010000}"/>
    <cellStyle name="Calculation 2 13 8" xfId="263" xr:uid="{00000000-0005-0000-0000-00008D010000}"/>
    <cellStyle name="Calculation 2 13 8 2" xfId="2670" xr:uid="{00000000-0005-0000-0000-00008E010000}"/>
    <cellStyle name="Calculation 2 13 8 3" xfId="2935" xr:uid="{00000000-0005-0000-0000-00008F010000}"/>
    <cellStyle name="Calculation 2 13 9" xfId="264" xr:uid="{00000000-0005-0000-0000-000090010000}"/>
    <cellStyle name="Calculation 2 13 9 2" xfId="2671" xr:uid="{00000000-0005-0000-0000-000091010000}"/>
    <cellStyle name="Calculation 2 13 9 3" xfId="2934" xr:uid="{00000000-0005-0000-0000-000092010000}"/>
    <cellStyle name="Calculation 2 14" xfId="265" xr:uid="{00000000-0005-0000-0000-000093010000}"/>
    <cellStyle name="Calculation 2 14 10" xfId="266" xr:uid="{00000000-0005-0000-0000-000094010000}"/>
    <cellStyle name="Calculation 2 14 10 2" xfId="2673" xr:uid="{00000000-0005-0000-0000-000095010000}"/>
    <cellStyle name="Calculation 2 14 10 3" xfId="2932" xr:uid="{00000000-0005-0000-0000-000096010000}"/>
    <cellStyle name="Calculation 2 14 11" xfId="267" xr:uid="{00000000-0005-0000-0000-000097010000}"/>
    <cellStyle name="Calculation 2 14 11 2" xfId="2674" xr:uid="{00000000-0005-0000-0000-000098010000}"/>
    <cellStyle name="Calculation 2 14 11 3" xfId="2931" xr:uid="{00000000-0005-0000-0000-000099010000}"/>
    <cellStyle name="Calculation 2 14 12" xfId="268" xr:uid="{00000000-0005-0000-0000-00009A010000}"/>
    <cellStyle name="Calculation 2 14 12 2" xfId="2675" xr:uid="{00000000-0005-0000-0000-00009B010000}"/>
    <cellStyle name="Calculation 2 14 12 3" xfId="2930" xr:uid="{00000000-0005-0000-0000-00009C010000}"/>
    <cellStyle name="Calculation 2 14 13" xfId="269" xr:uid="{00000000-0005-0000-0000-00009D010000}"/>
    <cellStyle name="Calculation 2 14 13 2" xfId="2676" xr:uid="{00000000-0005-0000-0000-00009E010000}"/>
    <cellStyle name="Calculation 2 14 13 3" xfId="2929" xr:uid="{00000000-0005-0000-0000-00009F010000}"/>
    <cellStyle name="Calculation 2 14 14" xfId="270" xr:uid="{00000000-0005-0000-0000-0000A0010000}"/>
    <cellStyle name="Calculation 2 14 14 2" xfId="2677" xr:uid="{00000000-0005-0000-0000-0000A1010000}"/>
    <cellStyle name="Calculation 2 14 14 3" xfId="2928" xr:uid="{00000000-0005-0000-0000-0000A2010000}"/>
    <cellStyle name="Calculation 2 14 15" xfId="271" xr:uid="{00000000-0005-0000-0000-0000A3010000}"/>
    <cellStyle name="Calculation 2 14 15 2" xfId="2678" xr:uid="{00000000-0005-0000-0000-0000A4010000}"/>
    <cellStyle name="Calculation 2 14 15 3" xfId="2927" xr:uid="{00000000-0005-0000-0000-0000A5010000}"/>
    <cellStyle name="Calculation 2 14 16" xfId="272" xr:uid="{00000000-0005-0000-0000-0000A6010000}"/>
    <cellStyle name="Calculation 2 14 16 2" xfId="2679" xr:uid="{00000000-0005-0000-0000-0000A7010000}"/>
    <cellStyle name="Calculation 2 14 16 3" xfId="2926" xr:uid="{00000000-0005-0000-0000-0000A8010000}"/>
    <cellStyle name="Calculation 2 14 17" xfId="273" xr:uid="{00000000-0005-0000-0000-0000A9010000}"/>
    <cellStyle name="Calculation 2 14 17 2" xfId="2680" xr:uid="{00000000-0005-0000-0000-0000AA010000}"/>
    <cellStyle name="Calculation 2 14 17 3" xfId="2481" xr:uid="{00000000-0005-0000-0000-0000AB010000}"/>
    <cellStyle name="Calculation 2 14 18" xfId="274" xr:uid="{00000000-0005-0000-0000-0000AC010000}"/>
    <cellStyle name="Calculation 2 14 18 2" xfId="2681" xr:uid="{00000000-0005-0000-0000-0000AD010000}"/>
    <cellStyle name="Calculation 2 14 18 3" xfId="2480" xr:uid="{00000000-0005-0000-0000-0000AE010000}"/>
    <cellStyle name="Calculation 2 14 19" xfId="275" xr:uid="{00000000-0005-0000-0000-0000AF010000}"/>
    <cellStyle name="Calculation 2 14 19 2" xfId="2682" xr:uid="{00000000-0005-0000-0000-0000B0010000}"/>
    <cellStyle name="Calculation 2 14 19 3" xfId="2479" xr:uid="{00000000-0005-0000-0000-0000B1010000}"/>
    <cellStyle name="Calculation 2 14 2" xfId="276" xr:uid="{00000000-0005-0000-0000-0000B2010000}"/>
    <cellStyle name="Calculation 2 14 2 2" xfId="2683" xr:uid="{00000000-0005-0000-0000-0000B3010000}"/>
    <cellStyle name="Calculation 2 14 2 3" xfId="2478" xr:uid="{00000000-0005-0000-0000-0000B4010000}"/>
    <cellStyle name="Calculation 2 14 20" xfId="277" xr:uid="{00000000-0005-0000-0000-0000B5010000}"/>
    <cellStyle name="Calculation 2 14 20 2" xfId="2684" xr:uid="{00000000-0005-0000-0000-0000B6010000}"/>
    <cellStyle name="Calculation 2 14 20 3" xfId="2477" xr:uid="{00000000-0005-0000-0000-0000B7010000}"/>
    <cellStyle name="Calculation 2 14 21" xfId="278" xr:uid="{00000000-0005-0000-0000-0000B8010000}"/>
    <cellStyle name="Calculation 2 14 21 2" xfId="2685" xr:uid="{00000000-0005-0000-0000-0000B9010000}"/>
    <cellStyle name="Calculation 2 14 21 3" xfId="2493" xr:uid="{00000000-0005-0000-0000-0000BA010000}"/>
    <cellStyle name="Calculation 2 14 22" xfId="279" xr:uid="{00000000-0005-0000-0000-0000BB010000}"/>
    <cellStyle name="Calculation 2 14 22 2" xfId="2686" xr:uid="{00000000-0005-0000-0000-0000BC010000}"/>
    <cellStyle name="Calculation 2 14 22 3" xfId="2925" xr:uid="{00000000-0005-0000-0000-0000BD010000}"/>
    <cellStyle name="Calculation 2 14 23" xfId="280" xr:uid="{00000000-0005-0000-0000-0000BE010000}"/>
    <cellStyle name="Calculation 2 14 23 2" xfId="2687" xr:uid="{00000000-0005-0000-0000-0000BF010000}"/>
    <cellStyle name="Calculation 2 14 23 3" xfId="2924" xr:uid="{00000000-0005-0000-0000-0000C0010000}"/>
    <cellStyle name="Calculation 2 14 24" xfId="2672" xr:uid="{00000000-0005-0000-0000-0000C1010000}"/>
    <cellStyle name="Calculation 2 14 25" xfId="2933" xr:uid="{00000000-0005-0000-0000-0000C2010000}"/>
    <cellStyle name="Calculation 2 14 3" xfId="281" xr:uid="{00000000-0005-0000-0000-0000C3010000}"/>
    <cellStyle name="Calculation 2 14 3 2" xfId="2688" xr:uid="{00000000-0005-0000-0000-0000C4010000}"/>
    <cellStyle name="Calculation 2 14 3 3" xfId="2476" xr:uid="{00000000-0005-0000-0000-0000C5010000}"/>
    <cellStyle name="Calculation 2 14 4" xfId="282" xr:uid="{00000000-0005-0000-0000-0000C6010000}"/>
    <cellStyle name="Calculation 2 14 4 2" xfId="2689" xr:uid="{00000000-0005-0000-0000-0000C7010000}"/>
    <cellStyle name="Calculation 2 14 4 3" xfId="2492" xr:uid="{00000000-0005-0000-0000-0000C8010000}"/>
    <cellStyle name="Calculation 2 14 5" xfId="283" xr:uid="{00000000-0005-0000-0000-0000C9010000}"/>
    <cellStyle name="Calculation 2 14 5 2" xfId="2690" xr:uid="{00000000-0005-0000-0000-0000CA010000}"/>
    <cellStyle name="Calculation 2 14 5 3" xfId="2578" xr:uid="{00000000-0005-0000-0000-0000CB010000}"/>
    <cellStyle name="Calculation 2 14 6" xfId="284" xr:uid="{00000000-0005-0000-0000-0000CC010000}"/>
    <cellStyle name="Calculation 2 14 6 2" xfId="2691" xr:uid="{00000000-0005-0000-0000-0000CD010000}"/>
    <cellStyle name="Calculation 2 14 6 3" xfId="2577" xr:uid="{00000000-0005-0000-0000-0000CE010000}"/>
    <cellStyle name="Calculation 2 14 7" xfId="285" xr:uid="{00000000-0005-0000-0000-0000CF010000}"/>
    <cellStyle name="Calculation 2 14 7 2" xfId="2692" xr:uid="{00000000-0005-0000-0000-0000D0010000}"/>
    <cellStyle name="Calculation 2 14 7 3" xfId="2474" xr:uid="{00000000-0005-0000-0000-0000D1010000}"/>
    <cellStyle name="Calculation 2 14 8" xfId="286" xr:uid="{00000000-0005-0000-0000-0000D2010000}"/>
    <cellStyle name="Calculation 2 14 8 2" xfId="2693" xr:uid="{00000000-0005-0000-0000-0000D3010000}"/>
    <cellStyle name="Calculation 2 14 8 3" xfId="2576" xr:uid="{00000000-0005-0000-0000-0000D4010000}"/>
    <cellStyle name="Calculation 2 14 9" xfId="287" xr:uid="{00000000-0005-0000-0000-0000D5010000}"/>
    <cellStyle name="Calculation 2 14 9 2" xfId="2694" xr:uid="{00000000-0005-0000-0000-0000D6010000}"/>
    <cellStyle name="Calculation 2 14 9 3" xfId="2575" xr:uid="{00000000-0005-0000-0000-0000D7010000}"/>
    <cellStyle name="Calculation 2 15" xfId="288" xr:uid="{00000000-0005-0000-0000-0000D8010000}"/>
    <cellStyle name="Calculation 2 15 10" xfId="289" xr:uid="{00000000-0005-0000-0000-0000D9010000}"/>
    <cellStyle name="Calculation 2 15 10 2" xfId="2696" xr:uid="{00000000-0005-0000-0000-0000DA010000}"/>
    <cellStyle name="Calculation 2 15 10 3" xfId="2573" xr:uid="{00000000-0005-0000-0000-0000DB010000}"/>
    <cellStyle name="Calculation 2 15 11" xfId="290" xr:uid="{00000000-0005-0000-0000-0000DC010000}"/>
    <cellStyle name="Calculation 2 15 11 2" xfId="2697" xr:uid="{00000000-0005-0000-0000-0000DD010000}"/>
    <cellStyle name="Calculation 2 15 11 3" xfId="2572" xr:uid="{00000000-0005-0000-0000-0000DE010000}"/>
    <cellStyle name="Calculation 2 15 12" xfId="291" xr:uid="{00000000-0005-0000-0000-0000DF010000}"/>
    <cellStyle name="Calculation 2 15 12 2" xfId="2698" xr:uid="{00000000-0005-0000-0000-0000E0010000}"/>
    <cellStyle name="Calculation 2 15 12 3" xfId="2571" xr:uid="{00000000-0005-0000-0000-0000E1010000}"/>
    <cellStyle name="Calculation 2 15 13" xfId="292" xr:uid="{00000000-0005-0000-0000-0000E2010000}"/>
    <cellStyle name="Calculation 2 15 13 2" xfId="2699" xr:uid="{00000000-0005-0000-0000-0000E3010000}"/>
    <cellStyle name="Calculation 2 15 13 3" xfId="2570" xr:uid="{00000000-0005-0000-0000-0000E4010000}"/>
    <cellStyle name="Calculation 2 15 14" xfId="293" xr:uid="{00000000-0005-0000-0000-0000E5010000}"/>
    <cellStyle name="Calculation 2 15 14 2" xfId="2700" xr:uid="{00000000-0005-0000-0000-0000E6010000}"/>
    <cellStyle name="Calculation 2 15 14 3" xfId="2569" xr:uid="{00000000-0005-0000-0000-0000E7010000}"/>
    <cellStyle name="Calculation 2 15 15" xfId="294" xr:uid="{00000000-0005-0000-0000-0000E8010000}"/>
    <cellStyle name="Calculation 2 15 15 2" xfId="2701" xr:uid="{00000000-0005-0000-0000-0000E9010000}"/>
    <cellStyle name="Calculation 2 15 15 3" xfId="2473" xr:uid="{00000000-0005-0000-0000-0000EA010000}"/>
    <cellStyle name="Calculation 2 15 16" xfId="295" xr:uid="{00000000-0005-0000-0000-0000EB010000}"/>
    <cellStyle name="Calculation 2 15 16 2" xfId="2702" xr:uid="{00000000-0005-0000-0000-0000EC010000}"/>
    <cellStyle name="Calculation 2 15 16 3" xfId="2568" xr:uid="{00000000-0005-0000-0000-0000ED010000}"/>
    <cellStyle name="Calculation 2 15 17" xfId="296" xr:uid="{00000000-0005-0000-0000-0000EE010000}"/>
    <cellStyle name="Calculation 2 15 17 2" xfId="2703" xr:uid="{00000000-0005-0000-0000-0000EF010000}"/>
    <cellStyle name="Calculation 2 15 17 3" xfId="2567" xr:uid="{00000000-0005-0000-0000-0000F0010000}"/>
    <cellStyle name="Calculation 2 15 18" xfId="297" xr:uid="{00000000-0005-0000-0000-0000F1010000}"/>
    <cellStyle name="Calculation 2 15 18 2" xfId="2704" xr:uid="{00000000-0005-0000-0000-0000F2010000}"/>
    <cellStyle name="Calculation 2 15 18 3" xfId="2472" xr:uid="{00000000-0005-0000-0000-0000F3010000}"/>
    <cellStyle name="Calculation 2 15 19" xfId="298" xr:uid="{00000000-0005-0000-0000-0000F4010000}"/>
    <cellStyle name="Calculation 2 15 19 2" xfId="2705" xr:uid="{00000000-0005-0000-0000-0000F5010000}"/>
    <cellStyle name="Calculation 2 15 19 3" xfId="2566" xr:uid="{00000000-0005-0000-0000-0000F6010000}"/>
    <cellStyle name="Calculation 2 15 2" xfId="299" xr:uid="{00000000-0005-0000-0000-0000F7010000}"/>
    <cellStyle name="Calculation 2 15 2 2" xfId="2706" xr:uid="{00000000-0005-0000-0000-0000F8010000}"/>
    <cellStyle name="Calculation 2 15 2 3" xfId="2565" xr:uid="{00000000-0005-0000-0000-0000F9010000}"/>
    <cellStyle name="Calculation 2 15 20" xfId="300" xr:uid="{00000000-0005-0000-0000-0000FA010000}"/>
    <cellStyle name="Calculation 2 15 20 2" xfId="2707" xr:uid="{00000000-0005-0000-0000-0000FB010000}"/>
    <cellStyle name="Calculation 2 15 20 3" xfId="2471" xr:uid="{00000000-0005-0000-0000-0000FC010000}"/>
    <cellStyle name="Calculation 2 15 21" xfId="301" xr:uid="{00000000-0005-0000-0000-0000FD010000}"/>
    <cellStyle name="Calculation 2 15 21 2" xfId="2708" xr:uid="{00000000-0005-0000-0000-0000FE010000}"/>
    <cellStyle name="Calculation 2 15 21 3" xfId="2564" xr:uid="{00000000-0005-0000-0000-0000FF010000}"/>
    <cellStyle name="Calculation 2 15 22" xfId="302" xr:uid="{00000000-0005-0000-0000-000000020000}"/>
    <cellStyle name="Calculation 2 15 22 2" xfId="2709" xr:uid="{00000000-0005-0000-0000-000001020000}"/>
    <cellStyle name="Calculation 2 15 22 3" xfId="2563" xr:uid="{00000000-0005-0000-0000-000002020000}"/>
    <cellStyle name="Calculation 2 15 23" xfId="303" xr:uid="{00000000-0005-0000-0000-000003020000}"/>
    <cellStyle name="Calculation 2 15 23 2" xfId="2710" xr:uid="{00000000-0005-0000-0000-000004020000}"/>
    <cellStyle name="Calculation 2 15 23 3" xfId="2470" xr:uid="{00000000-0005-0000-0000-000005020000}"/>
    <cellStyle name="Calculation 2 15 24" xfId="2695" xr:uid="{00000000-0005-0000-0000-000006020000}"/>
    <cellStyle name="Calculation 2 15 25" xfId="2574" xr:uid="{00000000-0005-0000-0000-000007020000}"/>
    <cellStyle name="Calculation 2 15 3" xfId="304" xr:uid="{00000000-0005-0000-0000-000008020000}"/>
    <cellStyle name="Calculation 2 15 3 2" xfId="2711" xr:uid="{00000000-0005-0000-0000-000009020000}"/>
    <cellStyle name="Calculation 2 15 3 3" xfId="2562" xr:uid="{00000000-0005-0000-0000-00000A020000}"/>
    <cellStyle name="Calculation 2 15 4" xfId="305" xr:uid="{00000000-0005-0000-0000-00000B020000}"/>
    <cellStyle name="Calculation 2 15 4 2" xfId="2712" xr:uid="{00000000-0005-0000-0000-00000C020000}"/>
    <cellStyle name="Calculation 2 15 4 3" xfId="2561" xr:uid="{00000000-0005-0000-0000-00000D020000}"/>
    <cellStyle name="Calculation 2 15 5" xfId="306" xr:uid="{00000000-0005-0000-0000-00000E020000}"/>
    <cellStyle name="Calculation 2 15 5 2" xfId="2713" xr:uid="{00000000-0005-0000-0000-00000F020000}"/>
    <cellStyle name="Calculation 2 15 5 3" xfId="2469" xr:uid="{00000000-0005-0000-0000-000010020000}"/>
    <cellStyle name="Calculation 2 15 6" xfId="307" xr:uid="{00000000-0005-0000-0000-000011020000}"/>
    <cellStyle name="Calculation 2 15 6 2" xfId="2714" xr:uid="{00000000-0005-0000-0000-000012020000}"/>
    <cellStyle name="Calculation 2 15 6 3" xfId="2560" xr:uid="{00000000-0005-0000-0000-000013020000}"/>
    <cellStyle name="Calculation 2 15 7" xfId="308" xr:uid="{00000000-0005-0000-0000-000014020000}"/>
    <cellStyle name="Calculation 2 15 7 2" xfId="2715" xr:uid="{00000000-0005-0000-0000-000015020000}"/>
    <cellStyle name="Calculation 2 15 7 3" xfId="2559" xr:uid="{00000000-0005-0000-0000-000016020000}"/>
    <cellStyle name="Calculation 2 15 8" xfId="309" xr:uid="{00000000-0005-0000-0000-000017020000}"/>
    <cellStyle name="Calculation 2 15 8 2" xfId="2716" xr:uid="{00000000-0005-0000-0000-000018020000}"/>
    <cellStyle name="Calculation 2 15 8 3" xfId="2468" xr:uid="{00000000-0005-0000-0000-000019020000}"/>
    <cellStyle name="Calculation 2 15 9" xfId="310" xr:uid="{00000000-0005-0000-0000-00001A020000}"/>
    <cellStyle name="Calculation 2 15 9 2" xfId="2717" xr:uid="{00000000-0005-0000-0000-00001B020000}"/>
    <cellStyle name="Calculation 2 15 9 3" xfId="2558" xr:uid="{00000000-0005-0000-0000-00001C020000}"/>
    <cellStyle name="Calculation 2 16" xfId="311" xr:uid="{00000000-0005-0000-0000-00001D020000}"/>
    <cellStyle name="Calculation 2 16 2" xfId="2718" xr:uid="{00000000-0005-0000-0000-00001E020000}"/>
    <cellStyle name="Calculation 2 16 3" xfId="2557" xr:uid="{00000000-0005-0000-0000-00001F020000}"/>
    <cellStyle name="Calculation 2 17" xfId="312" xr:uid="{00000000-0005-0000-0000-000020020000}"/>
    <cellStyle name="Calculation 2 17 2" xfId="2719" xr:uid="{00000000-0005-0000-0000-000021020000}"/>
    <cellStyle name="Calculation 2 17 3" xfId="2556" xr:uid="{00000000-0005-0000-0000-000022020000}"/>
    <cellStyle name="Calculation 2 18" xfId="313" xr:uid="{00000000-0005-0000-0000-000023020000}"/>
    <cellStyle name="Calculation 2 18 2" xfId="2720" xr:uid="{00000000-0005-0000-0000-000024020000}"/>
    <cellStyle name="Calculation 2 18 3" xfId="2555" xr:uid="{00000000-0005-0000-0000-000025020000}"/>
    <cellStyle name="Calculation 2 19" xfId="314" xr:uid="{00000000-0005-0000-0000-000026020000}"/>
    <cellStyle name="Calculation 2 19 2" xfId="2721" xr:uid="{00000000-0005-0000-0000-000027020000}"/>
    <cellStyle name="Calculation 2 19 3" xfId="2554" xr:uid="{00000000-0005-0000-0000-000028020000}"/>
    <cellStyle name="Calculation 2 2" xfId="315" xr:uid="{00000000-0005-0000-0000-000029020000}"/>
    <cellStyle name="Calculation 2 2 10" xfId="316" xr:uid="{00000000-0005-0000-0000-00002A020000}"/>
    <cellStyle name="Calculation 2 2 10 2" xfId="2723" xr:uid="{00000000-0005-0000-0000-00002B020000}"/>
    <cellStyle name="Calculation 2 2 10 3" xfId="2552" xr:uid="{00000000-0005-0000-0000-00002C020000}"/>
    <cellStyle name="Calculation 2 2 11" xfId="317" xr:uid="{00000000-0005-0000-0000-00002D020000}"/>
    <cellStyle name="Calculation 2 2 11 2" xfId="2724" xr:uid="{00000000-0005-0000-0000-00002E020000}"/>
    <cellStyle name="Calculation 2 2 11 3" xfId="2551" xr:uid="{00000000-0005-0000-0000-00002F020000}"/>
    <cellStyle name="Calculation 2 2 12" xfId="318" xr:uid="{00000000-0005-0000-0000-000030020000}"/>
    <cellStyle name="Calculation 2 2 12 2" xfId="2725" xr:uid="{00000000-0005-0000-0000-000031020000}"/>
    <cellStyle name="Calculation 2 2 12 3" xfId="2467" xr:uid="{00000000-0005-0000-0000-000032020000}"/>
    <cellStyle name="Calculation 2 2 13" xfId="319" xr:uid="{00000000-0005-0000-0000-000033020000}"/>
    <cellStyle name="Calculation 2 2 13 2" xfId="2726" xr:uid="{00000000-0005-0000-0000-000034020000}"/>
    <cellStyle name="Calculation 2 2 13 3" xfId="2550" xr:uid="{00000000-0005-0000-0000-000035020000}"/>
    <cellStyle name="Calculation 2 2 14" xfId="320" xr:uid="{00000000-0005-0000-0000-000036020000}"/>
    <cellStyle name="Calculation 2 2 14 2" xfId="2727" xr:uid="{00000000-0005-0000-0000-000037020000}"/>
    <cellStyle name="Calculation 2 2 14 3" xfId="2549" xr:uid="{00000000-0005-0000-0000-000038020000}"/>
    <cellStyle name="Calculation 2 2 15" xfId="321" xr:uid="{00000000-0005-0000-0000-000039020000}"/>
    <cellStyle name="Calculation 2 2 15 2" xfId="2728" xr:uid="{00000000-0005-0000-0000-00003A020000}"/>
    <cellStyle name="Calculation 2 2 15 3" xfId="2466" xr:uid="{00000000-0005-0000-0000-00003B020000}"/>
    <cellStyle name="Calculation 2 2 16" xfId="322" xr:uid="{00000000-0005-0000-0000-00003C020000}"/>
    <cellStyle name="Calculation 2 2 16 2" xfId="2729" xr:uid="{00000000-0005-0000-0000-00003D020000}"/>
    <cellStyle name="Calculation 2 2 16 3" xfId="2548" xr:uid="{00000000-0005-0000-0000-00003E020000}"/>
    <cellStyle name="Calculation 2 2 17" xfId="323" xr:uid="{00000000-0005-0000-0000-00003F020000}"/>
    <cellStyle name="Calculation 2 2 17 2" xfId="2730" xr:uid="{00000000-0005-0000-0000-000040020000}"/>
    <cellStyle name="Calculation 2 2 17 3" xfId="2547" xr:uid="{00000000-0005-0000-0000-000041020000}"/>
    <cellStyle name="Calculation 2 2 18" xfId="324" xr:uid="{00000000-0005-0000-0000-000042020000}"/>
    <cellStyle name="Calculation 2 2 18 2" xfId="2731" xr:uid="{00000000-0005-0000-0000-000043020000}"/>
    <cellStyle name="Calculation 2 2 18 3" xfId="2465" xr:uid="{00000000-0005-0000-0000-000044020000}"/>
    <cellStyle name="Calculation 2 2 19" xfId="325" xr:uid="{00000000-0005-0000-0000-000045020000}"/>
    <cellStyle name="Calculation 2 2 19 2" xfId="2732" xr:uid="{00000000-0005-0000-0000-000046020000}"/>
    <cellStyle name="Calculation 2 2 19 3" xfId="2546" xr:uid="{00000000-0005-0000-0000-000047020000}"/>
    <cellStyle name="Calculation 2 2 2" xfId="326" xr:uid="{00000000-0005-0000-0000-000048020000}"/>
    <cellStyle name="Calculation 2 2 2 2" xfId="2733" xr:uid="{00000000-0005-0000-0000-000049020000}"/>
    <cellStyle name="Calculation 2 2 2 3" xfId="2545" xr:uid="{00000000-0005-0000-0000-00004A020000}"/>
    <cellStyle name="Calculation 2 2 20" xfId="327" xr:uid="{00000000-0005-0000-0000-00004B020000}"/>
    <cellStyle name="Calculation 2 2 20 2" xfId="2734" xr:uid="{00000000-0005-0000-0000-00004C020000}"/>
    <cellStyle name="Calculation 2 2 20 3" xfId="2464" xr:uid="{00000000-0005-0000-0000-00004D020000}"/>
    <cellStyle name="Calculation 2 2 21" xfId="328" xr:uid="{00000000-0005-0000-0000-00004E020000}"/>
    <cellStyle name="Calculation 2 2 21 2" xfId="2735" xr:uid="{00000000-0005-0000-0000-00004F020000}"/>
    <cellStyle name="Calculation 2 2 21 3" xfId="2544" xr:uid="{00000000-0005-0000-0000-000050020000}"/>
    <cellStyle name="Calculation 2 2 22" xfId="329" xr:uid="{00000000-0005-0000-0000-000051020000}"/>
    <cellStyle name="Calculation 2 2 22 2" xfId="2736" xr:uid="{00000000-0005-0000-0000-000052020000}"/>
    <cellStyle name="Calculation 2 2 22 3" xfId="2543" xr:uid="{00000000-0005-0000-0000-000053020000}"/>
    <cellStyle name="Calculation 2 2 23" xfId="330" xr:uid="{00000000-0005-0000-0000-000054020000}"/>
    <cellStyle name="Calculation 2 2 23 2" xfId="2737" xr:uid="{00000000-0005-0000-0000-000055020000}"/>
    <cellStyle name="Calculation 2 2 23 3" xfId="2463" xr:uid="{00000000-0005-0000-0000-000056020000}"/>
    <cellStyle name="Calculation 2 2 24" xfId="2722" xr:uid="{00000000-0005-0000-0000-000057020000}"/>
    <cellStyle name="Calculation 2 2 25" xfId="2553" xr:uid="{00000000-0005-0000-0000-000058020000}"/>
    <cellStyle name="Calculation 2 2 3" xfId="331" xr:uid="{00000000-0005-0000-0000-000059020000}"/>
    <cellStyle name="Calculation 2 2 3 2" xfId="2738" xr:uid="{00000000-0005-0000-0000-00005A020000}"/>
    <cellStyle name="Calculation 2 2 3 3" xfId="2542" xr:uid="{00000000-0005-0000-0000-00005B020000}"/>
    <cellStyle name="Calculation 2 2 4" xfId="332" xr:uid="{00000000-0005-0000-0000-00005C020000}"/>
    <cellStyle name="Calculation 2 2 4 2" xfId="2739" xr:uid="{00000000-0005-0000-0000-00005D020000}"/>
    <cellStyle name="Calculation 2 2 4 3" xfId="2541" xr:uid="{00000000-0005-0000-0000-00005E020000}"/>
    <cellStyle name="Calculation 2 2 5" xfId="333" xr:uid="{00000000-0005-0000-0000-00005F020000}"/>
    <cellStyle name="Calculation 2 2 5 2" xfId="2740" xr:uid="{00000000-0005-0000-0000-000060020000}"/>
    <cellStyle name="Calculation 2 2 5 3" xfId="2462" xr:uid="{00000000-0005-0000-0000-000061020000}"/>
    <cellStyle name="Calculation 2 2 6" xfId="334" xr:uid="{00000000-0005-0000-0000-000062020000}"/>
    <cellStyle name="Calculation 2 2 6 2" xfId="2741" xr:uid="{00000000-0005-0000-0000-000063020000}"/>
    <cellStyle name="Calculation 2 2 6 3" xfId="2540" xr:uid="{00000000-0005-0000-0000-000064020000}"/>
    <cellStyle name="Calculation 2 2 7" xfId="335" xr:uid="{00000000-0005-0000-0000-000065020000}"/>
    <cellStyle name="Calculation 2 2 7 2" xfId="2742" xr:uid="{00000000-0005-0000-0000-000066020000}"/>
    <cellStyle name="Calculation 2 2 7 3" xfId="2539" xr:uid="{00000000-0005-0000-0000-000067020000}"/>
    <cellStyle name="Calculation 2 2 8" xfId="336" xr:uid="{00000000-0005-0000-0000-000068020000}"/>
    <cellStyle name="Calculation 2 2 8 2" xfId="2743" xr:uid="{00000000-0005-0000-0000-000069020000}"/>
    <cellStyle name="Calculation 2 2 8 3" xfId="2538" xr:uid="{00000000-0005-0000-0000-00006A020000}"/>
    <cellStyle name="Calculation 2 2 9" xfId="337" xr:uid="{00000000-0005-0000-0000-00006B020000}"/>
    <cellStyle name="Calculation 2 2 9 2" xfId="2744" xr:uid="{00000000-0005-0000-0000-00006C020000}"/>
    <cellStyle name="Calculation 2 2 9 3" xfId="2537" xr:uid="{00000000-0005-0000-0000-00006D020000}"/>
    <cellStyle name="Calculation 2 20" xfId="338" xr:uid="{00000000-0005-0000-0000-00006E020000}"/>
    <cellStyle name="Calculation 2 20 2" xfId="2745" xr:uid="{00000000-0005-0000-0000-00006F020000}"/>
    <cellStyle name="Calculation 2 20 3" xfId="2536" xr:uid="{00000000-0005-0000-0000-000070020000}"/>
    <cellStyle name="Calculation 2 21" xfId="339" xr:uid="{00000000-0005-0000-0000-000071020000}"/>
    <cellStyle name="Calculation 2 21 2" xfId="2746" xr:uid="{00000000-0005-0000-0000-000072020000}"/>
    <cellStyle name="Calculation 2 21 3" xfId="2535" xr:uid="{00000000-0005-0000-0000-000073020000}"/>
    <cellStyle name="Calculation 2 22" xfId="340" xr:uid="{00000000-0005-0000-0000-000074020000}"/>
    <cellStyle name="Calculation 2 22 2" xfId="2747" xr:uid="{00000000-0005-0000-0000-000075020000}"/>
    <cellStyle name="Calculation 2 22 3" xfId="2534" xr:uid="{00000000-0005-0000-0000-000076020000}"/>
    <cellStyle name="Calculation 2 23" xfId="341" xr:uid="{00000000-0005-0000-0000-000077020000}"/>
    <cellStyle name="Calculation 2 23 2" xfId="2748" xr:uid="{00000000-0005-0000-0000-000078020000}"/>
    <cellStyle name="Calculation 2 23 3" xfId="2533" xr:uid="{00000000-0005-0000-0000-000079020000}"/>
    <cellStyle name="Calculation 2 24" xfId="342" xr:uid="{00000000-0005-0000-0000-00007A020000}"/>
    <cellStyle name="Calculation 2 24 2" xfId="2749" xr:uid="{00000000-0005-0000-0000-00007B020000}"/>
    <cellStyle name="Calculation 2 24 3" xfId="2461" xr:uid="{00000000-0005-0000-0000-00007C020000}"/>
    <cellStyle name="Calculation 2 25" xfId="343" xr:uid="{00000000-0005-0000-0000-00007D020000}"/>
    <cellStyle name="Calculation 2 25 2" xfId="2750" xr:uid="{00000000-0005-0000-0000-00007E020000}"/>
    <cellStyle name="Calculation 2 25 3" xfId="2532" xr:uid="{00000000-0005-0000-0000-00007F020000}"/>
    <cellStyle name="Calculation 2 26" xfId="344" xr:uid="{00000000-0005-0000-0000-000080020000}"/>
    <cellStyle name="Calculation 2 26 2" xfId="2751" xr:uid="{00000000-0005-0000-0000-000081020000}"/>
    <cellStyle name="Calculation 2 26 3" xfId="2531" xr:uid="{00000000-0005-0000-0000-000082020000}"/>
    <cellStyle name="Calculation 2 27" xfId="345" xr:uid="{00000000-0005-0000-0000-000083020000}"/>
    <cellStyle name="Calculation 2 27 2" xfId="2752" xr:uid="{00000000-0005-0000-0000-000084020000}"/>
    <cellStyle name="Calculation 2 27 3" xfId="2460" xr:uid="{00000000-0005-0000-0000-000085020000}"/>
    <cellStyle name="Calculation 2 28" xfId="346" xr:uid="{00000000-0005-0000-0000-000086020000}"/>
    <cellStyle name="Calculation 2 28 2" xfId="2753" xr:uid="{00000000-0005-0000-0000-000087020000}"/>
    <cellStyle name="Calculation 2 28 3" xfId="2530" xr:uid="{00000000-0005-0000-0000-000088020000}"/>
    <cellStyle name="Calculation 2 29" xfId="347" xr:uid="{00000000-0005-0000-0000-000089020000}"/>
    <cellStyle name="Calculation 2 29 2" xfId="2754" xr:uid="{00000000-0005-0000-0000-00008A020000}"/>
    <cellStyle name="Calculation 2 29 3" xfId="2529" xr:uid="{00000000-0005-0000-0000-00008B020000}"/>
    <cellStyle name="Calculation 2 3" xfId="348" xr:uid="{00000000-0005-0000-0000-00008C020000}"/>
    <cellStyle name="Calculation 2 3 10" xfId="349" xr:uid="{00000000-0005-0000-0000-00008D020000}"/>
    <cellStyle name="Calculation 2 3 10 2" xfId="2756" xr:uid="{00000000-0005-0000-0000-00008E020000}"/>
    <cellStyle name="Calculation 2 3 10 3" xfId="2528" xr:uid="{00000000-0005-0000-0000-00008F020000}"/>
    <cellStyle name="Calculation 2 3 11" xfId="350" xr:uid="{00000000-0005-0000-0000-000090020000}"/>
    <cellStyle name="Calculation 2 3 11 2" xfId="2757" xr:uid="{00000000-0005-0000-0000-000091020000}"/>
    <cellStyle name="Calculation 2 3 11 3" xfId="2527" xr:uid="{00000000-0005-0000-0000-000092020000}"/>
    <cellStyle name="Calculation 2 3 12" xfId="351" xr:uid="{00000000-0005-0000-0000-000093020000}"/>
    <cellStyle name="Calculation 2 3 12 2" xfId="2758" xr:uid="{00000000-0005-0000-0000-000094020000}"/>
    <cellStyle name="Calculation 2 3 12 3" xfId="2458" xr:uid="{00000000-0005-0000-0000-000095020000}"/>
    <cellStyle name="Calculation 2 3 13" xfId="352" xr:uid="{00000000-0005-0000-0000-000096020000}"/>
    <cellStyle name="Calculation 2 3 13 2" xfId="2759" xr:uid="{00000000-0005-0000-0000-000097020000}"/>
    <cellStyle name="Calculation 2 3 13 3" xfId="2526" xr:uid="{00000000-0005-0000-0000-000098020000}"/>
    <cellStyle name="Calculation 2 3 14" xfId="353" xr:uid="{00000000-0005-0000-0000-000099020000}"/>
    <cellStyle name="Calculation 2 3 14 2" xfId="2760" xr:uid="{00000000-0005-0000-0000-00009A020000}"/>
    <cellStyle name="Calculation 2 3 14 3" xfId="2525" xr:uid="{00000000-0005-0000-0000-00009B020000}"/>
    <cellStyle name="Calculation 2 3 15" xfId="354" xr:uid="{00000000-0005-0000-0000-00009C020000}"/>
    <cellStyle name="Calculation 2 3 15 2" xfId="2761" xr:uid="{00000000-0005-0000-0000-00009D020000}"/>
    <cellStyle name="Calculation 2 3 15 3" xfId="2457" xr:uid="{00000000-0005-0000-0000-00009E020000}"/>
    <cellStyle name="Calculation 2 3 16" xfId="355" xr:uid="{00000000-0005-0000-0000-00009F020000}"/>
    <cellStyle name="Calculation 2 3 16 2" xfId="2762" xr:uid="{00000000-0005-0000-0000-0000A0020000}"/>
    <cellStyle name="Calculation 2 3 16 3" xfId="2524" xr:uid="{00000000-0005-0000-0000-0000A1020000}"/>
    <cellStyle name="Calculation 2 3 17" xfId="356" xr:uid="{00000000-0005-0000-0000-0000A2020000}"/>
    <cellStyle name="Calculation 2 3 17 2" xfId="2763" xr:uid="{00000000-0005-0000-0000-0000A3020000}"/>
    <cellStyle name="Calculation 2 3 17 3" xfId="2523" xr:uid="{00000000-0005-0000-0000-0000A4020000}"/>
    <cellStyle name="Calculation 2 3 18" xfId="357" xr:uid="{00000000-0005-0000-0000-0000A5020000}"/>
    <cellStyle name="Calculation 2 3 18 2" xfId="2764" xr:uid="{00000000-0005-0000-0000-0000A6020000}"/>
    <cellStyle name="Calculation 2 3 18 3" xfId="2456" xr:uid="{00000000-0005-0000-0000-0000A7020000}"/>
    <cellStyle name="Calculation 2 3 19" xfId="358" xr:uid="{00000000-0005-0000-0000-0000A8020000}"/>
    <cellStyle name="Calculation 2 3 19 2" xfId="2765" xr:uid="{00000000-0005-0000-0000-0000A9020000}"/>
    <cellStyle name="Calculation 2 3 19 3" xfId="2522" xr:uid="{00000000-0005-0000-0000-0000AA020000}"/>
    <cellStyle name="Calculation 2 3 2" xfId="359" xr:uid="{00000000-0005-0000-0000-0000AB020000}"/>
    <cellStyle name="Calculation 2 3 2 2" xfId="2766" xr:uid="{00000000-0005-0000-0000-0000AC020000}"/>
    <cellStyle name="Calculation 2 3 2 3" xfId="2521" xr:uid="{00000000-0005-0000-0000-0000AD020000}"/>
    <cellStyle name="Calculation 2 3 20" xfId="360" xr:uid="{00000000-0005-0000-0000-0000AE020000}"/>
    <cellStyle name="Calculation 2 3 20 2" xfId="2767" xr:uid="{00000000-0005-0000-0000-0000AF020000}"/>
    <cellStyle name="Calculation 2 3 20 3" xfId="2520" xr:uid="{00000000-0005-0000-0000-0000B0020000}"/>
    <cellStyle name="Calculation 2 3 21" xfId="361" xr:uid="{00000000-0005-0000-0000-0000B1020000}"/>
    <cellStyle name="Calculation 2 3 21 2" xfId="2768" xr:uid="{00000000-0005-0000-0000-0000B2020000}"/>
    <cellStyle name="Calculation 2 3 21 3" xfId="2519" xr:uid="{00000000-0005-0000-0000-0000B3020000}"/>
    <cellStyle name="Calculation 2 3 22" xfId="362" xr:uid="{00000000-0005-0000-0000-0000B4020000}"/>
    <cellStyle name="Calculation 2 3 22 2" xfId="2769" xr:uid="{00000000-0005-0000-0000-0000B5020000}"/>
    <cellStyle name="Calculation 2 3 22 3" xfId="2518" xr:uid="{00000000-0005-0000-0000-0000B6020000}"/>
    <cellStyle name="Calculation 2 3 23" xfId="363" xr:uid="{00000000-0005-0000-0000-0000B7020000}"/>
    <cellStyle name="Calculation 2 3 23 2" xfId="2770" xr:uid="{00000000-0005-0000-0000-0000B8020000}"/>
    <cellStyle name="Calculation 2 3 23 3" xfId="2517" xr:uid="{00000000-0005-0000-0000-0000B9020000}"/>
    <cellStyle name="Calculation 2 3 24" xfId="2755" xr:uid="{00000000-0005-0000-0000-0000BA020000}"/>
    <cellStyle name="Calculation 2 3 25" xfId="2459" xr:uid="{00000000-0005-0000-0000-0000BB020000}"/>
    <cellStyle name="Calculation 2 3 3" xfId="364" xr:uid="{00000000-0005-0000-0000-0000BC020000}"/>
    <cellStyle name="Calculation 2 3 3 2" xfId="2771" xr:uid="{00000000-0005-0000-0000-0000BD020000}"/>
    <cellStyle name="Calculation 2 3 3 3" xfId="2516" xr:uid="{00000000-0005-0000-0000-0000BE020000}"/>
    <cellStyle name="Calculation 2 3 4" xfId="365" xr:uid="{00000000-0005-0000-0000-0000BF020000}"/>
    <cellStyle name="Calculation 2 3 4 2" xfId="2772" xr:uid="{00000000-0005-0000-0000-0000C0020000}"/>
    <cellStyle name="Calculation 2 3 4 3" xfId="2515" xr:uid="{00000000-0005-0000-0000-0000C1020000}"/>
    <cellStyle name="Calculation 2 3 5" xfId="366" xr:uid="{00000000-0005-0000-0000-0000C2020000}"/>
    <cellStyle name="Calculation 2 3 5 2" xfId="2773" xr:uid="{00000000-0005-0000-0000-0000C3020000}"/>
    <cellStyle name="Calculation 2 3 5 3" xfId="2455" xr:uid="{00000000-0005-0000-0000-0000C4020000}"/>
    <cellStyle name="Calculation 2 3 6" xfId="367" xr:uid="{00000000-0005-0000-0000-0000C5020000}"/>
    <cellStyle name="Calculation 2 3 6 2" xfId="2774" xr:uid="{00000000-0005-0000-0000-0000C6020000}"/>
    <cellStyle name="Calculation 2 3 6 3" xfId="2514" xr:uid="{00000000-0005-0000-0000-0000C7020000}"/>
    <cellStyle name="Calculation 2 3 7" xfId="368" xr:uid="{00000000-0005-0000-0000-0000C8020000}"/>
    <cellStyle name="Calculation 2 3 7 2" xfId="2775" xr:uid="{00000000-0005-0000-0000-0000C9020000}"/>
    <cellStyle name="Calculation 2 3 7 3" xfId="2513" xr:uid="{00000000-0005-0000-0000-0000CA020000}"/>
    <cellStyle name="Calculation 2 3 8" xfId="369" xr:uid="{00000000-0005-0000-0000-0000CB020000}"/>
    <cellStyle name="Calculation 2 3 8 2" xfId="2776" xr:uid="{00000000-0005-0000-0000-0000CC020000}"/>
    <cellStyle name="Calculation 2 3 8 3" xfId="2454" xr:uid="{00000000-0005-0000-0000-0000CD020000}"/>
    <cellStyle name="Calculation 2 3 9" xfId="370" xr:uid="{00000000-0005-0000-0000-0000CE020000}"/>
    <cellStyle name="Calculation 2 3 9 2" xfId="2777" xr:uid="{00000000-0005-0000-0000-0000CF020000}"/>
    <cellStyle name="Calculation 2 3 9 3" xfId="2512" xr:uid="{00000000-0005-0000-0000-0000D0020000}"/>
    <cellStyle name="Calculation 2 30" xfId="371" xr:uid="{00000000-0005-0000-0000-0000D1020000}"/>
    <cellStyle name="Calculation 2 30 2" xfId="2778" xr:uid="{00000000-0005-0000-0000-0000D2020000}"/>
    <cellStyle name="Calculation 2 30 3" xfId="2511" xr:uid="{00000000-0005-0000-0000-0000D3020000}"/>
    <cellStyle name="Calculation 2 31" xfId="372" xr:uid="{00000000-0005-0000-0000-0000D4020000}"/>
    <cellStyle name="Calculation 2 31 2" xfId="2779" xr:uid="{00000000-0005-0000-0000-0000D5020000}"/>
    <cellStyle name="Calculation 2 31 3" xfId="2453" xr:uid="{00000000-0005-0000-0000-0000D6020000}"/>
    <cellStyle name="Calculation 2 32" xfId="373" xr:uid="{00000000-0005-0000-0000-0000D7020000}"/>
    <cellStyle name="Calculation 2 32 2" xfId="2780" xr:uid="{00000000-0005-0000-0000-0000D8020000}"/>
    <cellStyle name="Calculation 2 32 3" xfId="2510" xr:uid="{00000000-0005-0000-0000-0000D9020000}"/>
    <cellStyle name="Calculation 2 33" xfId="374" xr:uid="{00000000-0005-0000-0000-0000DA020000}"/>
    <cellStyle name="Calculation 2 33 2" xfId="2781" xr:uid="{00000000-0005-0000-0000-0000DB020000}"/>
    <cellStyle name="Calculation 2 33 3" xfId="2509" xr:uid="{00000000-0005-0000-0000-0000DC020000}"/>
    <cellStyle name="Calculation 2 34" xfId="375" xr:uid="{00000000-0005-0000-0000-0000DD020000}"/>
    <cellStyle name="Calculation 2 34 2" xfId="2782" xr:uid="{00000000-0005-0000-0000-0000DE020000}"/>
    <cellStyle name="Calculation 2 34 3" xfId="2452" xr:uid="{00000000-0005-0000-0000-0000DF020000}"/>
    <cellStyle name="Calculation 2 35" xfId="376" xr:uid="{00000000-0005-0000-0000-0000E0020000}"/>
    <cellStyle name="Calculation 2 35 2" xfId="2783" xr:uid="{00000000-0005-0000-0000-0000E1020000}"/>
    <cellStyle name="Calculation 2 35 3" xfId="2508" xr:uid="{00000000-0005-0000-0000-0000E2020000}"/>
    <cellStyle name="Calculation 2 36" xfId="377" xr:uid="{00000000-0005-0000-0000-0000E3020000}"/>
    <cellStyle name="Calculation 2 36 2" xfId="2784" xr:uid="{00000000-0005-0000-0000-0000E4020000}"/>
    <cellStyle name="Calculation 2 36 3" xfId="2507" xr:uid="{00000000-0005-0000-0000-0000E5020000}"/>
    <cellStyle name="Calculation 2 37" xfId="378" xr:uid="{00000000-0005-0000-0000-0000E6020000}"/>
    <cellStyle name="Calculation 2 37 2" xfId="2785" xr:uid="{00000000-0005-0000-0000-0000E7020000}"/>
    <cellStyle name="Calculation 2 37 3" xfId="2451" xr:uid="{00000000-0005-0000-0000-0000E8020000}"/>
    <cellStyle name="Calculation 2 38" xfId="2579" xr:uid="{00000000-0005-0000-0000-0000E9020000}"/>
    <cellStyle name="Calculation 2 39" xfId="2484" xr:uid="{00000000-0005-0000-0000-0000EA020000}"/>
    <cellStyle name="Calculation 2 4" xfId="379" xr:uid="{00000000-0005-0000-0000-0000EB020000}"/>
    <cellStyle name="Calculation 2 4 10" xfId="380" xr:uid="{00000000-0005-0000-0000-0000EC020000}"/>
    <cellStyle name="Calculation 2 4 10 2" xfId="2787" xr:uid="{00000000-0005-0000-0000-0000ED020000}"/>
    <cellStyle name="Calculation 2 4 10 3" xfId="2505" xr:uid="{00000000-0005-0000-0000-0000EE020000}"/>
    <cellStyle name="Calculation 2 4 11" xfId="381" xr:uid="{00000000-0005-0000-0000-0000EF020000}"/>
    <cellStyle name="Calculation 2 4 11 2" xfId="2788" xr:uid="{00000000-0005-0000-0000-0000F0020000}"/>
    <cellStyle name="Calculation 2 4 11 3" xfId="2450" xr:uid="{00000000-0005-0000-0000-0000F1020000}"/>
    <cellStyle name="Calculation 2 4 12" xfId="382" xr:uid="{00000000-0005-0000-0000-0000F2020000}"/>
    <cellStyle name="Calculation 2 4 12 2" xfId="2789" xr:uid="{00000000-0005-0000-0000-0000F3020000}"/>
    <cellStyle name="Calculation 2 4 12 3" xfId="4783" xr:uid="{00000000-0005-0000-0000-0000F4020000}"/>
    <cellStyle name="Calculation 2 4 13" xfId="383" xr:uid="{00000000-0005-0000-0000-0000F5020000}"/>
    <cellStyle name="Calculation 2 4 13 2" xfId="2790" xr:uid="{00000000-0005-0000-0000-0000F6020000}"/>
    <cellStyle name="Calculation 2 4 13 3" xfId="4784" xr:uid="{00000000-0005-0000-0000-0000F7020000}"/>
    <cellStyle name="Calculation 2 4 14" xfId="384" xr:uid="{00000000-0005-0000-0000-0000F8020000}"/>
    <cellStyle name="Calculation 2 4 14 2" xfId="2791" xr:uid="{00000000-0005-0000-0000-0000F9020000}"/>
    <cellStyle name="Calculation 2 4 14 3" xfId="4785" xr:uid="{00000000-0005-0000-0000-0000FA020000}"/>
    <cellStyle name="Calculation 2 4 15" xfId="385" xr:uid="{00000000-0005-0000-0000-0000FB020000}"/>
    <cellStyle name="Calculation 2 4 15 2" xfId="2792" xr:uid="{00000000-0005-0000-0000-0000FC020000}"/>
    <cellStyle name="Calculation 2 4 15 3" xfId="4786" xr:uid="{00000000-0005-0000-0000-0000FD020000}"/>
    <cellStyle name="Calculation 2 4 16" xfId="386" xr:uid="{00000000-0005-0000-0000-0000FE020000}"/>
    <cellStyle name="Calculation 2 4 16 2" xfId="2793" xr:uid="{00000000-0005-0000-0000-0000FF020000}"/>
    <cellStyle name="Calculation 2 4 16 3" xfId="4787" xr:uid="{00000000-0005-0000-0000-000000030000}"/>
    <cellStyle name="Calculation 2 4 17" xfId="387" xr:uid="{00000000-0005-0000-0000-000001030000}"/>
    <cellStyle name="Calculation 2 4 17 2" xfId="2794" xr:uid="{00000000-0005-0000-0000-000002030000}"/>
    <cellStyle name="Calculation 2 4 17 3" xfId="4788" xr:uid="{00000000-0005-0000-0000-000003030000}"/>
    <cellStyle name="Calculation 2 4 18" xfId="388" xr:uid="{00000000-0005-0000-0000-000004030000}"/>
    <cellStyle name="Calculation 2 4 18 2" xfId="2795" xr:uid="{00000000-0005-0000-0000-000005030000}"/>
    <cellStyle name="Calculation 2 4 18 3" xfId="4789" xr:uid="{00000000-0005-0000-0000-000006030000}"/>
    <cellStyle name="Calculation 2 4 19" xfId="389" xr:uid="{00000000-0005-0000-0000-000007030000}"/>
    <cellStyle name="Calculation 2 4 19 2" xfId="2796" xr:uid="{00000000-0005-0000-0000-000008030000}"/>
    <cellStyle name="Calculation 2 4 19 3" xfId="4790" xr:uid="{00000000-0005-0000-0000-000009030000}"/>
    <cellStyle name="Calculation 2 4 2" xfId="390" xr:uid="{00000000-0005-0000-0000-00000A030000}"/>
    <cellStyle name="Calculation 2 4 2 2" xfId="2797" xr:uid="{00000000-0005-0000-0000-00000B030000}"/>
    <cellStyle name="Calculation 2 4 2 3" xfId="4791" xr:uid="{00000000-0005-0000-0000-00000C030000}"/>
    <cellStyle name="Calculation 2 4 20" xfId="391" xr:uid="{00000000-0005-0000-0000-00000D030000}"/>
    <cellStyle name="Calculation 2 4 20 2" xfId="2798" xr:uid="{00000000-0005-0000-0000-00000E030000}"/>
    <cellStyle name="Calculation 2 4 20 3" xfId="4792" xr:uid="{00000000-0005-0000-0000-00000F030000}"/>
    <cellStyle name="Calculation 2 4 21" xfId="392" xr:uid="{00000000-0005-0000-0000-000010030000}"/>
    <cellStyle name="Calculation 2 4 21 2" xfId="2799" xr:uid="{00000000-0005-0000-0000-000011030000}"/>
    <cellStyle name="Calculation 2 4 21 3" xfId="4793" xr:uid="{00000000-0005-0000-0000-000012030000}"/>
    <cellStyle name="Calculation 2 4 22" xfId="393" xr:uid="{00000000-0005-0000-0000-000013030000}"/>
    <cellStyle name="Calculation 2 4 22 2" xfId="2800" xr:uid="{00000000-0005-0000-0000-000014030000}"/>
    <cellStyle name="Calculation 2 4 22 3" xfId="4794" xr:uid="{00000000-0005-0000-0000-000015030000}"/>
    <cellStyle name="Calculation 2 4 23" xfId="394" xr:uid="{00000000-0005-0000-0000-000016030000}"/>
    <cellStyle name="Calculation 2 4 23 2" xfId="2801" xr:uid="{00000000-0005-0000-0000-000017030000}"/>
    <cellStyle name="Calculation 2 4 23 3" xfId="4795" xr:uid="{00000000-0005-0000-0000-000018030000}"/>
    <cellStyle name="Calculation 2 4 24" xfId="2786" xr:uid="{00000000-0005-0000-0000-000019030000}"/>
    <cellStyle name="Calculation 2 4 25" xfId="2506" xr:uid="{00000000-0005-0000-0000-00001A030000}"/>
    <cellStyle name="Calculation 2 4 3" xfId="395" xr:uid="{00000000-0005-0000-0000-00001B030000}"/>
    <cellStyle name="Calculation 2 4 3 2" xfId="2802" xr:uid="{00000000-0005-0000-0000-00001C030000}"/>
    <cellStyle name="Calculation 2 4 3 3" xfId="4796" xr:uid="{00000000-0005-0000-0000-00001D030000}"/>
    <cellStyle name="Calculation 2 4 4" xfId="396" xr:uid="{00000000-0005-0000-0000-00001E030000}"/>
    <cellStyle name="Calculation 2 4 4 2" xfId="2803" xr:uid="{00000000-0005-0000-0000-00001F030000}"/>
    <cellStyle name="Calculation 2 4 4 3" xfId="4797" xr:uid="{00000000-0005-0000-0000-000020030000}"/>
    <cellStyle name="Calculation 2 4 5" xfId="397" xr:uid="{00000000-0005-0000-0000-000021030000}"/>
    <cellStyle name="Calculation 2 4 5 2" xfId="2804" xr:uid="{00000000-0005-0000-0000-000022030000}"/>
    <cellStyle name="Calculation 2 4 5 3" xfId="4798" xr:uid="{00000000-0005-0000-0000-000023030000}"/>
    <cellStyle name="Calculation 2 4 6" xfId="398" xr:uid="{00000000-0005-0000-0000-000024030000}"/>
    <cellStyle name="Calculation 2 4 6 2" xfId="2805" xr:uid="{00000000-0005-0000-0000-000025030000}"/>
    <cellStyle name="Calculation 2 4 6 3" xfId="4799" xr:uid="{00000000-0005-0000-0000-000026030000}"/>
    <cellStyle name="Calculation 2 4 7" xfId="399" xr:uid="{00000000-0005-0000-0000-000027030000}"/>
    <cellStyle name="Calculation 2 4 7 2" xfId="2806" xr:uid="{00000000-0005-0000-0000-000028030000}"/>
    <cellStyle name="Calculation 2 4 7 3" xfId="4800" xr:uid="{00000000-0005-0000-0000-000029030000}"/>
    <cellStyle name="Calculation 2 4 8" xfId="400" xr:uid="{00000000-0005-0000-0000-00002A030000}"/>
    <cellStyle name="Calculation 2 4 8 2" xfId="2807" xr:uid="{00000000-0005-0000-0000-00002B030000}"/>
    <cellStyle name="Calculation 2 4 8 3" xfId="4801" xr:uid="{00000000-0005-0000-0000-00002C030000}"/>
    <cellStyle name="Calculation 2 4 9" xfId="401" xr:uid="{00000000-0005-0000-0000-00002D030000}"/>
    <cellStyle name="Calculation 2 4 9 2" xfId="2808" xr:uid="{00000000-0005-0000-0000-00002E030000}"/>
    <cellStyle name="Calculation 2 4 9 3" xfId="4802" xr:uid="{00000000-0005-0000-0000-00002F030000}"/>
    <cellStyle name="Calculation 2 5" xfId="402" xr:uid="{00000000-0005-0000-0000-000030030000}"/>
    <cellStyle name="Calculation 2 5 10" xfId="403" xr:uid="{00000000-0005-0000-0000-000031030000}"/>
    <cellStyle name="Calculation 2 5 10 2" xfId="2810" xr:uid="{00000000-0005-0000-0000-000032030000}"/>
    <cellStyle name="Calculation 2 5 10 3" xfId="4804" xr:uid="{00000000-0005-0000-0000-000033030000}"/>
    <cellStyle name="Calculation 2 5 11" xfId="404" xr:uid="{00000000-0005-0000-0000-000034030000}"/>
    <cellStyle name="Calculation 2 5 11 2" xfId="2811" xr:uid="{00000000-0005-0000-0000-000035030000}"/>
    <cellStyle name="Calculation 2 5 11 3" xfId="4805" xr:uid="{00000000-0005-0000-0000-000036030000}"/>
    <cellStyle name="Calculation 2 5 12" xfId="405" xr:uid="{00000000-0005-0000-0000-000037030000}"/>
    <cellStyle name="Calculation 2 5 12 2" xfId="2812" xr:uid="{00000000-0005-0000-0000-000038030000}"/>
    <cellStyle name="Calculation 2 5 12 3" xfId="4806" xr:uid="{00000000-0005-0000-0000-000039030000}"/>
    <cellStyle name="Calculation 2 5 13" xfId="406" xr:uid="{00000000-0005-0000-0000-00003A030000}"/>
    <cellStyle name="Calculation 2 5 13 2" xfId="2813" xr:uid="{00000000-0005-0000-0000-00003B030000}"/>
    <cellStyle name="Calculation 2 5 13 3" xfId="4807" xr:uid="{00000000-0005-0000-0000-00003C030000}"/>
    <cellStyle name="Calculation 2 5 14" xfId="407" xr:uid="{00000000-0005-0000-0000-00003D030000}"/>
    <cellStyle name="Calculation 2 5 14 2" xfId="2814" xr:uid="{00000000-0005-0000-0000-00003E030000}"/>
    <cellStyle name="Calculation 2 5 14 3" xfId="4808" xr:uid="{00000000-0005-0000-0000-00003F030000}"/>
    <cellStyle name="Calculation 2 5 15" xfId="408" xr:uid="{00000000-0005-0000-0000-000040030000}"/>
    <cellStyle name="Calculation 2 5 15 2" xfId="2815" xr:uid="{00000000-0005-0000-0000-000041030000}"/>
    <cellStyle name="Calculation 2 5 15 3" xfId="4809" xr:uid="{00000000-0005-0000-0000-000042030000}"/>
    <cellStyle name="Calculation 2 5 16" xfId="409" xr:uid="{00000000-0005-0000-0000-000043030000}"/>
    <cellStyle name="Calculation 2 5 16 2" xfId="2816" xr:uid="{00000000-0005-0000-0000-000044030000}"/>
    <cellStyle name="Calculation 2 5 16 3" xfId="4810" xr:uid="{00000000-0005-0000-0000-000045030000}"/>
    <cellStyle name="Calculation 2 5 17" xfId="410" xr:uid="{00000000-0005-0000-0000-000046030000}"/>
    <cellStyle name="Calculation 2 5 17 2" xfId="2817" xr:uid="{00000000-0005-0000-0000-000047030000}"/>
    <cellStyle name="Calculation 2 5 17 3" xfId="4811" xr:uid="{00000000-0005-0000-0000-000048030000}"/>
    <cellStyle name="Calculation 2 5 18" xfId="411" xr:uid="{00000000-0005-0000-0000-000049030000}"/>
    <cellStyle name="Calculation 2 5 18 2" xfId="2818" xr:uid="{00000000-0005-0000-0000-00004A030000}"/>
    <cellStyle name="Calculation 2 5 18 3" xfId="4812" xr:uid="{00000000-0005-0000-0000-00004B030000}"/>
    <cellStyle name="Calculation 2 5 19" xfId="412" xr:uid="{00000000-0005-0000-0000-00004C030000}"/>
    <cellStyle name="Calculation 2 5 19 2" xfId="2819" xr:uid="{00000000-0005-0000-0000-00004D030000}"/>
    <cellStyle name="Calculation 2 5 19 3" xfId="4813" xr:uid="{00000000-0005-0000-0000-00004E030000}"/>
    <cellStyle name="Calculation 2 5 2" xfId="413" xr:uid="{00000000-0005-0000-0000-00004F030000}"/>
    <cellStyle name="Calculation 2 5 2 2" xfId="2820" xr:uid="{00000000-0005-0000-0000-000050030000}"/>
    <cellStyle name="Calculation 2 5 2 3" xfId="4814" xr:uid="{00000000-0005-0000-0000-000051030000}"/>
    <cellStyle name="Calculation 2 5 20" xfId="414" xr:uid="{00000000-0005-0000-0000-000052030000}"/>
    <cellStyle name="Calculation 2 5 20 2" xfId="2821" xr:uid="{00000000-0005-0000-0000-000053030000}"/>
    <cellStyle name="Calculation 2 5 20 3" xfId="4815" xr:uid="{00000000-0005-0000-0000-000054030000}"/>
    <cellStyle name="Calculation 2 5 21" xfId="415" xr:uid="{00000000-0005-0000-0000-000055030000}"/>
    <cellStyle name="Calculation 2 5 21 2" xfId="2822" xr:uid="{00000000-0005-0000-0000-000056030000}"/>
    <cellStyle name="Calculation 2 5 21 3" xfId="4816" xr:uid="{00000000-0005-0000-0000-000057030000}"/>
    <cellStyle name="Calculation 2 5 22" xfId="416" xr:uid="{00000000-0005-0000-0000-000058030000}"/>
    <cellStyle name="Calculation 2 5 22 2" xfId="2823" xr:uid="{00000000-0005-0000-0000-000059030000}"/>
    <cellStyle name="Calculation 2 5 22 3" xfId="4817" xr:uid="{00000000-0005-0000-0000-00005A030000}"/>
    <cellStyle name="Calculation 2 5 23" xfId="417" xr:uid="{00000000-0005-0000-0000-00005B030000}"/>
    <cellStyle name="Calculation 2 5 23 2" xfId="2824" xr:uid="{00000000-0005-0000-0000-00005C030000}"/>
    <cellStyle name="Calculation 2 5 23 3" xfId="4818" xr:uid="{00000000-0005-0000-0000-00005D030000}"/>
    <cellStyle name="Calculation 2 5 24" xfId="2809" xr:uid="{00000000-0005-0000-0000-00005E030000}"/>
    <cellStyle name="Calculation 2 5 25" xfId="4803" xr:uid="{00000000-0005-0000-0000-00005F030000}"/>
    <cellStyle name="Calculation 2 5 3" xfId="418" xr:uid="{00000000-0005-0000-0000-000060030000}"/>
    <cellStyle name="Calculation 2 5 3 2" xfId="2825" xr:uid="{00000000-0005-0000-0000-000061030000}"/>
    <cellStyle name="Calculation 2 5 3 3" xfId="4819" xr:uid="{00000000-0005-0000-0000-000062030000}"/>
    <cellStyle name="Calculation 2 5 4" xfId="419" xr:uid="{00000000-0005-0000-0000-000063030000}"/>
    <cellStyle name="Calculation 2 5 4 2" xfId="2826" xr:uid="{00000000-0005-0000-0000-000064030000}"/>
    <cellStyle name="Calculation 2 5 4 3" xfId="4820" xr:uid="{00000000-0005-0000-0000-000065030000}"/>
    <cellStyle name="Calculation 2 5 5" xfId="420" xr:uid="{00000000-0005-0000-0000-000066030000}"/>
    <cellStyle name="Calculation 2 5 5 2" xfId="2827" xr:uid="{00000000-0005-0000-0000-000067030000}"/>
    <cellStyle name="Calculation 2 5 5 3" xfId="4821" xr:uid="{00000000-0005-0000-0000-000068030000}"/>
    <cellStyle name="Calculation 2 5 6" xfId="421" xr:uid="{00000000-0005-0000-0000-000069030000}"/>
    <cellStyle name="Calculation 2 5 6 2" xfId="2828" xr:uid="{00000000-0005-0000-0000-00006A030000}"/>
    <cellStyle name="Calculation 2 5 6 3" xfId="4822" xr:uid="{00000000-0005-0000-0000-00006B030000}"/>
    <cellStyle name="Calculation 2 5 7" xfId="422" xr:uid="{00000000-0005-0000-0000-00006C030000}"/>
    <cellStyle name="Calculation 2 5 7 2" xfId="2829" xr:uid="{00000000-0005-0000-0000-00006D030000}"/>
    <cellStyle name="Calculation 2 5 7 3" xfId="4823" xr:uid="{00000000-0005-0000-0000-00006E030000}"/>
    <cellStyle name="Calculation 2 5 8" xfId="423" xr:uid="{00000000-0005-0000-0000-00006F030000}"/>
    <cellStyle name="Calculation 2 5 8 2" xfId="2830" xr:uid="{00000000-0005-0000-0000-000070030000}"/>
    <cellStyle name="Calculation 2 5 8 3" xfId="4824" xr:uid="{00000000-0005-0000-0000-000071030000}"/>
    <cellStyle name="Calculation 2 5 9" xfId="424" xr:uid="{00000000-0005-0000-0000-000072030000}"/>
    <cellStyle name="Calculation 2 5 9 2" xfId="2831" xr:uid="{00000000-0005-0000-0000-000073030000}"/>
    <cellStyle name="Calculation 2 5 9 3" xfId="4825" xr:uid="{00000000-0005-0000-0000-000074030000}"/>
    <cellStyle name="Calculation 2 6" xfId="425" xr:uid="{00000000-0005-0000-0000-000075030000}"/>
    <cellStyle name="Calculation 2 6 10" xfId="426" xr:uid="{00000000-0005-0000-0000-000076030000}"/>
    <cellStyle name="Calculation 2 6 10 2" xfId="2833" xr:uid="{00000000-0005-0000-0000-000077030000}"/>
    <cellStyle name="Calculation 2 6 10 3" xfId="4827" xr:uid="{00000000-0005-0000-0000-000078030000}"/>
    <cellStyle name="Calculation 2 6 11" xfId="427" xr:uid="{00000000-0005-0000-0000-000079030000}"/>
    <cellStyle name="Calculation 2 6 11 2" xfId="2834" xr:uid="{00000000-0005-0000-0000-00007A030000}"/>
    <cellStyle name="Calculation 2 6 11 3" xfId="4828" xr:uid="{00000000-0005-0000-0000-00007B030000}"/>
    <cellStyle name="Calculation 2 6 12" xfId="428" xr:uid="{00000000-0005-0000-0000-00007C030000}"/>
    <cellStyle name="Calculation 2 6 12 2" xfId="2835" xr:uid="{00000000-0005-0000-0000-00007D030000}"/>
    <cellStyle name="Calculation 2 6 12 3" xfId="4829" xr:uid="{00000000-0005-0000-0000-00007E030000}"/>
    <cellStyle name="Calculation 2 6 13" xfId="429" xr:uid="{00000000-0005-0000-0000-00007F030000}"/>
    <cellStyle name="Calculation 2 6 13 2" xfId="2836" xr:uid="{00000000-0005-0000-0000-000080030000}"/>
    <cellStyle name="Calculation 2 6 13 3" xfId="4830" xr:uid="{00000000-0005-0000-0000-000081030000}"/>
    <cellStyle name="Calculation 2 6 14" xfId="430" xr:uid="{00000000-0005-0000-0000-000082030000}"/>
    <cellStyle name="Calculation 2 6 14 2" xfId="2837" xr:uid="{00000000-0005-0000-0000-000083030000}"/>
    <cellStyle name="Calculation 2 6 14 3" xfId="4831" xr:uid="{00000000-0005-0000-0000-000084030000}"/>
    <cellStyle name="Calculation 2 6 15" xfId="431" xr:uid="{00000000-0005-0000-0000-000085030000}"/>
    <cellStyle name="Calculation 2 6 15 2" xfId="2838" xr:uid="{00000000-0005-0000-0000-000086030000}"/>
    <cellStyle name="Calculation 2 6 15 3" xfId="4832" xr:uid="{00000000-0005-0000-0000-000087030000}"/>
    <cellStyle name="Calculation 2 6 16" xfId="432" xr:uid="{00000000-0005-0000-0000-000088030000}"/>
    <cellStyle name="Calculation 2 6 16 2" xfId="2839" xr:uid="{00000000-0005-0000-0000-000089030000}"/>
    <cellStyle name="Calculation 2 6 16 3" xfId="4833" xr:uid="{00000000-0005-0000-0000-00008A030000}"/>
    <cellStyle name="Calculation 2 6 17" xfId="433" xr:uid="{00000000-0005-0000-0000-00008B030000}"/>
    <cellStyle name="Calculation 2 6 17 2" xfId="2840" xr:uid="{00000000-0005-0000-0000-00008C030000}"/>
    <cellStyle name="Calculation 2 6 17 3" xfId="4834" xr:uid="{00000000-0005-0000-0000-00008D030000}"/>
    <cellStyle name="Calculation 2 6 18" xfId="434" xr:uid="{00000000-0005-0000-0000-00008E030000}"/>
    <cellStyle name="Calculation 2 6 18 2" xfId="2841" xr:uid="{00000000-0005-0000-0000-00008F030000}"/>
    <cellStyle name="Calculation 2 6 18 3" xfId="4835" xr:uid="{00000000-0005-0000-0000-000090030000}"/>
    <cellStyle name="Calculation 2 6 19" xfId="435" xr:uid="{00000000-0005-0000-0000-000091030000}"/>
    <cellStyle name="Calculation 2 6 19 2" xfId="2842" xr:uid="{00000000-0005-0000-0000-000092030000}"/>
    <cellStyle name="Calculation 2 6 19 3" xfId="4836" xr:uid="{00000000-0005-0000-0000-000093030000}"/>
    <cellStyle name="Calculation 2 6 2" xfId="436" xr:uid="{00000000-0005-0000-0000-000094030000}"/>
    <cellStyle name="Calculation 2 6 2 2" xfId="2843" xr:uid="{00000000-0005-0000-0000-000095030000}"/>
    <cellStyle name="Calculation 2 6 2 3" xfId="4837" xr:uid="{00000000-0005-0000-0000-000096030000}"/>
    <cellStyle name="Calculation 2 6 20" xfId="437" xr:uid="{00000000-0005-0000-0000-000097030000}"/>
    <cellStyle name="Calculation 2 6 20 2" xfId="2844" xr:uid="{00000000-0005-0000-0000-000098030000}"/>
    <cellStyle name="Calculation 2 6 20 3" xfId="4838" xr:uid="{00000000-0005-0000-0000-000099030000}"/>
    <cellStyle name="Calculation 2 6 21" xfId="438" xr:uid="{00000000-0005-0000-0000-00009A030000}"/>
    <cellStyle name="Calculation 2 6 21 2" xfId="2845" xr:uid="{00000000-0005-0000-0000-00009B030000}"/>
    <cellStyle name="Calculation 2 6 21 3" xfId="4839" xr:uid="{00000000-0005-0000-0000-00009C030000}"/>
    <cellStyle name="Calculation 2 6 22" xfId="439" xr:uid="{00000000-0005-0000-0000-00009D030000}"/>
    <cellStyle name="Calculation 2 6 22 2" xfId="2846" xr:uid="{00000000-0005-0000-0000-00009E030000}"/>
    <cellStyle name="Calculation 2 6 22 3" xfId="4840" xr:uid="{00000000-0005-0000-0000-00009F030000}"/>
    <cellStyle name="Calculation 2 6 23" xfId="440" xr:uid="{00000000-0005-0000-0000-0000A0030000}"/>
    <cellStyle name="Calculation 2 6 23 2" xfId="2847" xr:uid="{00000000-0005-0000-0000-0000A1030000}"/>
    <cellStyle name="Calculation 2 6 23 3" xfId="4841" xr:uid="{00000000-0005-0000-0000-0000A2030000}"/>
    <cellStyle name="Calculation 2 6 24" xfId="2832" xr:uid="{00000000-0005-0000-0000-0000A3030000}"/>
    <cellStyle name="Calculation 2 6 25" xfId="4826" xr:uid="{00000000-0005-0000-0000-0000A4030000}"/>
    <cellStyle name="Calculation 2 6 3" xfId="441" xr:uid="{00000000-0005-0000-0000-0000A5030000}"/>
    <cellStyle name="Calculation 2 6 3 2" xfId="2848" xr:uid="{00000000-0005-0000-0000-0000A6030000}"/>
    <cellStyle name="Calculation 2 6 3 3" xfId="4842" xr:uid="{00000000-0005-0000-0000-0000A7030000}"/>
    <cellStyle name="Calculation 2 6 4" xfId="442" xr:uid="{00000000-0005-0000-0000-0000A8030000}"/>
    <cellStyle name="Calculation 2 6 4 2" xfId="2849" xr:uid="{00000000-0005-0000-0000-0000A9030000}"/>
    <cellStyle name="Calculation 2 6 4 3" xfId="4843" xr:uid="{00000000-0005-0000-0000-0000AA030000}"/>
    <cellStyle name="Calculation 2 6 5" xfId="443" xr:uid="{00000000-0005-0000-0000-0000AB030000}"/>
    <cellStyle name="Calculation 2 6 5 2" xfId="2850" xr:uid="{00000000-0005-0000-0000-0000AC030000}"/>
    <cellStyle name="Calculation 2 6 5 3" xfId="4844" xr:uid="{00000000-0005-0000-0000-0000AD030000}"/>
    <cellStyle name="Calculation 2 6 6" xfId="444" xr:uid="{00000000-0005-0000-0000-0000AE030000}"/>
    <cellStyle name="Calculation 2 6 6 2" xfId="2851" xr:uid="{00000000-0005-0000-0000-0000AF030000}"/>
    <cellStyle name="Calculation 2 6 6 3" xfId="4845" xr:uid="{00000000-0005-0000-0000-0000B0030000}"/>
    <cellStyle name="Calculation 2 6 7" xfId="445" xr:uid="{00000000-0005-0000-0000-0000B1030000}"/>
    <cellStyle name="Calculation 2 6 7 2" xfId="2852" xr:uid="{00000000-0005-0000-0000-0000B2030000}"/>
    <cellStyle name="Calculation 2 6 7 3" xfId="4846" xr:uid="{00000000-0005-0000-0000-0000B3030000}"/>
    <cellStyle name="Calculation 2 6 8" xfId="446" xr:uid="{00000000-0005-0000-0000-0000B4030000}"/>
    <cellStyle name="Calculation 2 6 8 2" xfId="2853" xr:uid="{00000000-0005-0000-0000-0000B5030000}"/>
    <cellStyle name="Calculation 2 6 8 3" xfId="4847" xr:uid="{00000000-0005-0000-0000-0000B6030000}"/>
    <cellStyle name="Calculation 2 6 9" xfId="447" xr:uid="{00000000-0005-0000-0000-0000B7030000}"/>
    <cellStyle name="Calculation 2 6 9 2" xfId="2854" xr:uid="{00000000-0005-0000-0000-0000B8030000}"/>
    <cellStyle name="Calculation 2 6 9 3" xfId="4848" xr:uid="{00000000-0005-0000-0000-0000B9030000}"/>
    <cellStyle name="Calculation 2 7" xfId="448" xr:uid="{00000000-0005-0000-0000-0000BA030000}"/>
    <cellStyle name="Calculation 2 7 10" xfId="449" xr:uid="{00000000-0005-0000-0000-0000BB030000}"/>
    <cellStyle name="Calculation 2 7 10 2" xfId="2856" xr:uid="{00000000-0005-0000-0000-0000BC030000}"/>
    <cellStyle name="Calculation 2 7 10 3" xfId="4850" xr:uid="{00000000-0005-0000-0000-0000BD030000}"/>
    <cellStyle name="Calculation 2 7 11" xfId="450" xr:uid="{00000000-0005-0000-0000-0000BE030000}"/>
    <cellStyle name="Calculation 2 7 11 2" xfId="2857" xr:uid="{00000000-0005-0000-0000-0000BF030000}"/>
    <cellStyle name="Calculation 2 7 11 3" xfId="4851" xr:uid="{00000000-0005-0000-0000-0000C0030000}"/>
    <cellStyle name="Calculation 2 7 12" xfId="451" xr:uid="{00000000-0005-0000-0000-0000C1030000}"/>
    <cellStyle name="Calculation 2 7 12 2" xfId="2858" xr:uid="{00000000-0005-0000-0000-0000C2030000}"/>
    <cellStyle name="Calculation 2 7 12 3" xfId="4852" xr:uid="{00000000-0005-0000-0000-0000C3030000}"/>
    <cellStyle name="Calculation 2 7 13" xfId="452" xr:uid="{00000000-0005-0000-0000-0000C4030000}"/>
    <cellStyle name="Calculation 2 7 13 2" xfId="2859" xr:uid="{00000000-0005-0000-0000-0000C5030000}"/>
    <cellStyle name="Calculation 2 7 13 3" xfId="4853" xr:uid="{00000000-0005-0000-0000-0000C6030000}"/>
    <cellStyle name="Calculation 2 7 14" xfId="453" xr:uid="{00000000-0005-0000-0000-0000C7030000}"/>
    <cellStyle name="Calculation 2 7 14 2" xfId="2860" xr:uid="{00000000-0005-0000-0000-0000C8030000}"/>
    <cellStyle name="Calculation 2 7 14 3" xfId="4854" xr:uid="{00000000-0005-0000-0000-0000C9030000}"/>
    <cellStyle name="Calculation 2 7 15" xfId="454" xr:uid="{00000000-0005-0000-0000-0000CA030000}"/>
    <cellStyle name="Calculation 2 7 15 2" xfId="2861" xr:uid="{00000000-0005-0000-0000-0000CB030000}"/>
    <cellStyle name="Calculation 2 7 15 3" xfId="4855" xr:uid="{00000000-0005-0000-0000-0000CC030000}"/>
    <cellStyle name="Calculation 2 7 16" xfId="455" xr:uid="{00000000-0005-0000-0000-0000CD030000}"/>
    <cellStyle name="Calculation 2 7 16 2" xfId="2862" xr:uid="{00000000-0005-0000-0000-0000CE030000}"/>
    <cellStyle name="Calculation 2 7 16 3" xfId="4856" xr:uid="{00000000-0005-0000-0000-0000CF030000}"/>
    <cellStyle name="Calculation 2 7 17" xfId="456" xr:uid="{00000000-0005-0000-0000-0000D0030000}"/>
    <cellStyle name="Calculation 2 7 17 2" xfId="2863" xr:uid="{00000000-0005-0000-0000-0000D1030000}"/>
    <cellStyle name="Calculation 2 7 17 3" xfId="4857" xr:uid="{00000000-0005-0000-0000-0000D2030000}"/>
    <cellStyle name="Calculation 2 7 18" xfId="457" xr:uid="{00000000-0005-0000-0000-0000D3030000}"/>
    <cellStyle name="Calculation 2 7 18 2" xfId="2864" xr:uid="{00000000-0005-0000-0000-0000D4030000}"/>
    <cellStyle name="Calculation 2 7 18 3" xfId="4858" xr:uid="{00000000-0005-0000-0000-0000D5030000}"/>
    <cellStyle name="Calculation 2 7 19" xfId="458" xr:uid="{00000000-0005-0000-0000-0000D6030000}"/>
    <cellStyle name="Calculation 2 7 19 2" xfId="2865" xr:uid="{00000000-0005-0000-0000-0000D7030000}"/>
    <cellStyle name="Calculation 2 7 19 3" xfId="4859" xr:uid="{00000000-0005-0000-0000-0000D8030000}"/>
    <cellStyle name="Calculation 2 7 2" xfId="459" xr:uid="{00000000-0005-0000-0000-0000D9030000}"/>
    <cellStyle name="Calculation 2 7 2 2" xfId="2866" xr:uid="{00000000-0005-0000-0000-0000DA030000}"/>
    <cellStyle name="Calculation 2 7 2 3" xfId="4860" xr:uid="{00000000-0005-0000-0000-0000DB030000}"/>
    <cellStyle name="Calculation 2 7 20" xfId="460" xr:uid="{00000000-0005-0000-0000-0000DC030000}"/>
    <cellStyle name="Calculation 2 7 20 2" xfId="2867" xr:uid="{00000000-0005-0000-0000-0000DD030000}"/>
    <cellStyle name="Calculation 2 7 20 3" xfId="4861" xr:uid="{00000000-0005-0000-0000-0000DE030000}"/>
    <cellStyle name="Calculation 2 7 21" xfId="461" xr:uid="{00000000-0005-0000-0000-0000DF030000}"/>
    <cellStyle name="Calculation 2 7 21 2" xfId="2868" xr:uid="{00000000-0005-0000-0000-0000E0030000}"/>
    <cellStyle name="Calculation 2 7 21 3" xfId="4862" xr:uid="{00000000-0005-0000-0000-0000E1030000}"/>
    <cellStyle name="Calculation 2 7 22" xfId="462" xr:uid="{00000000-0005-0000-0000-0000E2030000}"/>
    <cellStyle name="Calculation 2 7 22 2" xfId="2869" xr:uid="{00000000-0005-0000-0000-0000E3030000}"/>
    <cellStyle name="Calculation 2 7 22 3" xfId="4863" xr:uid="{00000000-0005-0000-0000-0000E4030000}"/>
    <cellStyle name="Calculation 2 7 23" xfId="463" xr:uid="{00000000-0005-0000-0000-0000E5030000}"/>
    <cellStyle name="Calculation 2 7 23 2" xfId="2870" xr:uid="{00000000-0005-0000-0000-0000E6030000}"/>
    <cellStyle name="Calculation 2 7 23 3" xfId="4864" xr:uid="{00000000-0005-0000-0000-0000E7030000}"/>
    <cellStyle name="Calculation 2 7 24" xfId="2855" xr:uid="{00000000-0005-0000-0000-0000E8030000}"/>
    <cellStyle name="Calculation 2 7 25" xfId="4849" xr:uid="{00000000-0005-0000-0000-0000E9030000}"/>
    <cellStyle name="Calculation 2 7 3" xfId="464" xr:uid="{00000000-0005-0000-0000-0000EA030000}"/>
    <cellStyle name="Calculation 2 7 3 2" xfId="2871" xr:uid="{00000000-0005-0000-0000-0000EB030000}"/>
    <cellStyle name="Calculation 2 7 3 3" xfId="4865" xr:uid="{00000000-0005-0000-0000-0000EC030000}"/>
    <cellStyle name="Calculation 2 7 4" xfId="465" xr:uid="{00000000-0005-0000-0000-0000ED030000}"/>
    <cellStyle name="Calculation 2 7 4 2" xfId="2872" xr:uid="{00000000-0005-0000-0000-0000EE030000}"/>
    <cellStyle name="Calculation 2 7 4 3" xfId="4866" xr:uid="{00000000-0005-0000-0000-0000EF030000}"/>
    <cellStyle name="Calculation 2 7 5" xfId="466" xr:uid="{00000000-0005-0000-0000-0000F0030000}"/>
    <cellStyle name="Calculation 2 7 5 2" xfId="2873" xr:uid="{00000000-0005-0000-0000-0000F1030000}"/>
    <cellStyle name="Calculation 2 7 5 3" xfId="4867" xr:uid="{00000000-0005-0000-0000-0000F2030000}"/>
    <cellStyle name="Calculation 2 7 6" xfId="467" xr:uid="{00000000-0005-0000-0000-0000F3030000}"/>
    <cellStyle name="Calculation 2 7 6 2" xfId="2874" xr:uid="{00000000-0005-0000-0000-0000F4030000}"/>
    <cellStyle name="Calculation 2 7 6 3" xfId="4868" xr:uid="{00000000-0005-0000-0000-0000F5030000}"/>
    <cellStyle name="Calculation 2 7 7" xfId="468" xr:uid="{00000000-0005-0000-0000-0000F6030000}"/>
    <cellStyle name="Calculation 2 7 7 2" xfId="2875" xr:uid="{00000000-0005-0000-0000-0000F7030000}"/>
    <cellStyle name="Calculation 2 7 7 3" xfId="4869" xr:uid="{00000000-0005-0000-0000-0000F8030000}"/>
    <cellStyle name="Calculation 2 7 8" xfId="469" xr:uid="{00000000-0005-0000-0000-0000F9030000}"/>
    <cellStyle name="Calculation 2 7 8 2" xfId="2876" xr:uid="{00000000-0005-0000-0000-0000FA030000}"/>
    <cellStyle name="Calculation 2 7 8 3" xfId="4870" xr:uid="{00000000-0005-0000-0000-0000FB030000}"/>
    <cellStyle name="Calculation 2 7 9" xfId="470" xr:uid="{00000000-0005-0000-0000-0000FC030000}"/>
    <cellStyle name="Calculation 2 7 9 2" xfId="2877" xr:uid="{00000000-0005-0000-0000-0000FD030000}"/>
    <cellStyle name="Calculation 2 7 9 3" xfId="4871" xr:uid="{00000000-0005-0000-0000-0000FE030000}"/>
    <cellStyle name="Calculation 2 8" xfId="471" xr:uid="{00000000-0005-0000-0000-0000FF030000}"/>
    <cellStyle name="Calculation 2 8 10" xfId="472" xr:uid="{00000000-0005-0000-0000-000000040000}"/>
    <cellStyle name="Calculation 2 8 10 2" xfId="2879" xr:uid="{00000000-0005-0000-0000-000001040000}"/>
    <cellStyle name="Calculation 2 8 10 3" xfId="4873" xr:uid="{00000000-0005-0000-0000-000002040000}"/>
    <cellStyle name="Calculation 2 8 11" xfId="473" xr:uid="{00000000-0005-0000-0000-000003040000}"/>
    <cellStyle name="Calculation 2 8 11 2" xfId="2880" xr:uid="{00000000-0005-0000-0000-000004040000}"/>
    <cellStyle name="Calculation 2 8 11 3" xfId="4874" xr:uid="{00000000-0005-0000-0000-000005040000}"/>
    <cellStyle name="Calculation 2 8 12" xfId="474" xr:uid="{00000000-0005-0000-0000-000006040000}"/>
    <cellStyle name="Calculation 2 8 12 2" xfId="2881" xr:uid="{00000000-0005-0000-0000-000007040000}"/>
    <cellStyle name="Calculation 2 8 12 3" xfId="4875" xr:uid="{00000000-0005-0000-0000-000008040000}"/>
    <cellStyle name="Calculation 2 8 13" xfId="475" xr:uid="{00000000-0005-0000-0000-000009040000}"/>
    <cellStyle name="Calculation 2 8 13 2" xfId="2882" xr:uid="{00000000-0005-0000-0000-00000A040000}"/>
    <cellStyle name="Calculation 2 8 13 3" xfId="4876" xr:uid="{00000000-0005-0000-0000-00000B040000}"/>
    <cellStyle name="Calculation 2 8 14" xfId="476" xr:uid="{00000000-0005-0000-0000-00000C040000}"/>
    <cellStyle name="Calculation 2 8 14 2" xfId="2883" xr:uid="{00000000-0005-0000-0000-00000D040000}"/>
    <cellStyle name="Calculation 2 8 14 3" xfId="4877" xr:uid="{00000000-0005-0000-0000-00000E040000}"/>
    <cellStyle name="Calculation 2 8 15" xfId="477" xr:uid="{00000000-0005-0000-0000-00000F040000}"/>
    <cellStyle name="Calculation 2 8 15 2" xfId="2884" xr:uid="{00000000-0005-0000-0000-000010040000}"/>
    <cellStyle name="Calculation 2 8 15 3" xfId="4878" xr:uid="{00000000-0005-0000-0000-000011040000}"/>
    <cellStyle name="Calculation 2 8 16" xfId="478" xr:uid="{00000000-0005-0000-0000-000012040000}"/>
    <cellStyle name="Calculation 2 8 16 2" xfId="2885" xr:uid="{00000000-0005-0000-0000-000013040000}"/>
    <cellStyle name="Calculation 2 8 16 3" xfId="4879" xr:uid="{00000000-0005-0000-0000-000014040000}"/>
    <cellStyle name="Calculation 2 8 17" xfId="479" xr:uid="{00000000-0005-0000-0000-000015040000}"/>
    <cellStyle name="Calculation 2 8 17 2" xfId="2886" xr:uid="{00000000-0005-0000-0000-000016040000}"/>
    <cellStyle name="Calculation 2 8 17 3" xfId="4880" xr:uid="{00000000-0005-0000-0000-000017040000}"/>
    <cellStyle name="Calculation 2 8 18" xfId="480" xr:uid="{00000000-0005-0000-0000-000018040000}"/>
    <cellStyle name="Calculation 2 8 18 2" xfId="2887" xr:uid="{00000000-0005-0000-0000-000019040000}"/>
    <cellStyle name="Calculation 2 8 18 3" xfId="4881" xr:uid="{00000000-0005-0000-0000-00001A040000}"/>
    <cellStyle name="Calculation 2 8 19" xfId="481" xr:uid="{00000000-0005-0000-0000-00001B040000}"/>
    <cellStyle name="Calculation 2 8 19 2" xfId="2888" xr:uid="{00000000-0005-0000-0000-00001C040000}"/>
    <cellStyle name="Calculation 2 8 19 3" xfId="4882" xr:uid="{00000000-0005-0000-0000-00001D040000}"/>
    <cellStyle name="Calculation 2 8 2" xfId="482" xr:uid="{00000000-0005-0000-0000-00001E040000}"/>
    <cellStyle name="Calculation 2 8 2 2" xfId="2889" xr:uid="{00000000-0005-0000-0000-00001F040000}"/>
    <cellStyle name="Calculation 2 8 2 3" xfId="4883" xr:uid="{00000000-0005-0000-0000-000020040000}"/>
    <cellStyle name="Calculation 2 8 20" xfId="483" xr:uid="{00000000-0005-0000-0000-000021040000}"/>
    <cellStyle name="Calculation 2 8 20 2" xfId="2890" xr:uid="{00000000-0005-0000-0000-000022040000}"/>
    <cellStyle name="Calculation 2 8 20 3" xfId="4884" xr:uid="{00000000-0005-0000-0000-000023040000}"/>
    <cellStyle name="Calculation 2 8 21" xfId="484" xr:uid="{00000000-0005-0000-0000-000024040000}"/>
    <cellStyle name="Calculation 2 8 21 2" xfId="2891" xr:uid="{00000000-0005-0000-0000-000025040000}"/>
    <cellStyle name="Calculation 2 8 21 3" xfId="4885" xr:uid="{00000000-0005-0000-0000-000026040000}"/>
    <cellStyle name="Calculation 2 8 22" xfId="485" xr:uid="{00000000-0005-0000-0000-000027040000}"/>
    <cellStyle name="Calculation 2 8 22 2" xfId="2892" xr:uid="{00000000-0005-0000-0000-000028040000}"/>
    <cellStyle name="Calculation 2 8 22 3" xfId="4886" xr:uid="{00000000-0005-0000-0000-000029040000}"/>
    <cellStyle name="Calculation 2 8 23" xfId="486" xr:uid="{00000000-0005-0000-0000-00002A040000}"/>
    <cellStyle name="Calculation 2 8 23 2" xfId="2893" xr:uid="{00000000-0005-0000-0000-00002B040000}"/>
    <cellStyle name="Calculation 2 8 23 3" xfId="4887" xr:uid="{00000000-0005-0000-0000-00002C040000}"/>
    <cellStyle name="Calculation 2 8 24" xfId="2878" xr:uid="{00000000-0005-0000-0000-00002D040000}"/>
    <cellStyle name="Calculation 2 8 25" xfId="4872" xr:uid="{00000000-0005-0000-0000-00002E040000}"/>
    <cellStyle name="Calculation 2 8 3" xfId="487" xr:uid="{00000000-0005-0000-0000-00002F040000}"/>
    <cellStyle name="Calculation 2 8 3 2" xfId="2894" xr:uid="{00000000-0005-0000-0000-000030040000}"/>
    <cellStyle name="Calculation 2 8 3 3" xfId="4888" xr:uid="{00000000-0005-0000-0000-000031040000}"/>
    <cellStyle name="Calculation 2 8 4" xfId="488" xr:uid="{00000000-0005-0000-0000-000032040000}"/>
    <cellStyle name="Calculation 2 8 4 2" xfId="2895" xr:uid="{00000000-0005-0000-0000-000033040000}"/>
    <cellStyle name="Calculation 2 8 4 3" xfId="4889" xr:uid="{00000000-0005-0000-0000-000034040000}"/>
    <cellStyle name="Calculation 2 8 5" xfId="489" xr:uid="{00000000-0005-0000-0000-000035040000}"/>
    <cellStyle name="Calculation 2 8 5 2" xfId="2896" xr:uid="{00000000-0005-0000-0000-000036040000}"/>
    <cellStyle name="Calculation 2 8 5 3" xfId="4890" xr:uid="{00000000-0005-0000-0000-000037040000}"/>
    <cellStyle name="Calculation 2 8 6" xfId="490" xr:uid="{00000000-0005-0000-0000-000038040000}"/>
    <cellStyle name="Calculation 2 8 6 2" xfId="2897" xr:uid="{00000000-0005-0000-0000-000039040000}"/>
    <cellStyle name="Calculation 2 8 6 3" xfId="4891" xr:uid="{00000000-0005-0000-0000-00003A040000}"/>
    <cellStyle name="Calculation 2 8 7" xfId="491" xr:uid="{00000000-0005-0000-0000-00003B040000}"/>
    <cellStyle name="Calculation 2 8 7 2" xfId="2898" xr:uid="{00000000-0005-0000-0000-00003C040000}"/>
    <cellStyle name="Calculation 2 8 7 3" xfId="4892" xr:uid="{00000000-0005-0000-0000-00003D040000}"/>
    <cellStyle name="Calculation 2 8 8" xfId="492" xr:uid="{00000000-0005-0000-0000-00003E040000}"/>
    <cellStyle name="Calculation 2 8 8 2" xfId="2899" xr:uid="{00000000-0005-0000-0000-00003F040000}"/>
    <cellStyle name="Calculation 2 8 8 3" xfId="4893" xr:uid="{00000000-0005-0000-0000-000040040000}"/>
    <cellStyle name="Calculation 2 8 9" xfId="493" xr:uid="{00000000-0005-0000-0000-000041040000}"/>
    <cellStyle name="Calculation 2 8 9 2" xfId="2900" xr:uid="{00000000-0005-0000-0000-000042040000}"/>
    <cellStyle name="Calculation 2 8 9 3" xfId="4894" xr:uid="{00000000-0005-0000-0000-000043040000}"/>
    <cellStyle name="Calculation 2 9" xfId="494" xr:uid="{00000000-0005-0000-0000-000044040000}"/>
    <cellStyle name="Calculation 2 9 10" xfId="495" xr:uid="{00000000-0005-0000-0000-000045040000}"/>
    <cellStyle name="Calculation 2 9 10 2" xfId="2902" xr:uid="{00000000-0005-0000-0000-000046040000}"/>
    <cellStyle name="Calculation 2 9 10 3" xfId="4896" xr:uid="{00000000-0005-0000-0000-000047040000}"/>
    <cellStyle name="Calculation 2 9 11" xfId="496" xr:uid="{00000000-0005-0000-0000-000048040000}"/>
    <cellStyle name="Calculation 2 9 11 2" xfId="2903" xr:uid="{00000000-0005-0000-0000-000049040000}"/>
    <cellStyle name="Calculation 2 9 11 3" xfId="4897" xr:uid="{00000000-0005-0000-0000-00004A040000}"/>
    <cellStyle name="Calculation 2 9 12" xfId="497" xr:uid="{00000000-0005-0000-0000-00004B040000}"/>
    <cellStyle name="Calculation 2 9 12 2" xfId="2904" xr:uid="{00000000-0005-0000-0000-00004C040000}"/>
    <cellStyle name="Calculation 2 9 12 3" xfId="4898" xr:uid="{00000000-0005-0000-0000-00004D040000}"/>
    <cellStyle name="Calculation 2 9 13" xfId="498" xr:uid="{00000000-0005-0000-0000-00004E040000}"/>
    <cellStyle name="Calculation 2 9 13 2" xfId="2905" xr:uid="{00000000-0005-0000-0000-00004F040000}"/>
    <cellStyle name="Calculation 2 9 13 3" xfId="4899" xr:uid="{00000000-0005-0000-0000-000050040000}"/>
    <cellStyle name="Calculation 2 9 14" xfId="499" xr:uid="{00000000-0005-0000-0000-000051040000}"/>
    <cellStyle name="Calculation 2 9 14 2" xfId="2906" xr:uid="{00000000-0005-0000-0000-000052040000}"/>
    <cellStyle name="Calculation 2 9 14 3" xfId="4900" xr:uid="{00000000-0005-0000-0000-000053040000}"/>
    <cellStyle name="Calculation 2 9 15" xfId="500" xr:uid="{00000000-0005-0000-0000-000054040000}"/>
    <cellStyle name="Calculation 2 9 15 2" xfId="2907" xr:uid="{00000000-0005-0000-0000-000055040000}"/>
    <cellStyle name="Calculation 2 9 15 3" xfId="4901" xr:uid="{00000000-0005-0000-0000-000056040000}"/>
    <cellStyle name="Calculation 2 9 16" xfId="501" xr:uid="{00000000-0005-0000-0000-000057040000}"/>
    <cellStyle name="Calculation 2 9 16 2" xfId="2908" xr:uid="{00000000-0005-0000-0000-000058040000}"/>
    <cellStyle name="Calculation 2 9 16 3" xfId="4902" xr:uid="{00000000-0005-0000-0000-000059040000}"/>
    <cellStyle name="Calculation 2 9 17" xfId="502" xr:uid="{00000000-0005-0000-0000-00005A040000}"/>
    <cellStyle name="Calculation 2 9 17 2" xfId="2909" xr:uid="{00000000-0005-0000-0000-00005B040000}"/>
    <cellStyle name="Calculation 2 9 17 3" xfId="4903" xr:uid="{00000000-0005-0000-0000-00005C040000}"/>
    <cellStyle name="Calculation 2 9 18" xfId="503" xr:uid="{00000000-0005-0000-0000-00005D040000}"/>
    <cellStyle name="Calculation 2 9 18 2" xfId="2910" xr:uid="{00000000-0005-0000-0000-00005E040000}"/>
    <cellStyle name="Calculation 2 9 18 3" xfId="4904" xr:uid="{00000000-0005-0000-0000-00005F040000}"/>
    <cellStyle name="Calculation 2 9 19" xfId="504" xr:uid="{00000000-0005-0000-0000-000060040000}"/>
    <cellStyle name="Calculation 2 9 19 2" xfId="2911" xr:uid="{00000000-0005-0000-0000-000061040000}"/>
    <cellStyle name="Calculation 2 9 19 3" xfId="4905" xr:uid="{00000000-0005-0000-0000-000062040000}"/>
    <cellStyle name="Calculation 2 9 2" xfId="505" xr:uid="{00000000-0005-0000-0000-000063040000}"/>
    <cellStyle name="Calculation 2 9 2 2" xfId="2912" xr:uid="{00000000-0005-0000-0000-000064040000}"/>
    <cellStyle name="Calculation 2 9 2 3" xfId="4906" xr:uid="{00000000-0005-0000-0000-000065040000}"/>
    <cellStyle name="Calculation 2 9 20" xfId="506" xr:uid="{00000000-0005-0000-0000-000066040000}"/>
    <cellStyle name="Calculation 2 9 20 2" xfId="2913" xr:uid="{00000000-0005-0000-0000-000067040000}"/>
    <cellStyle name="Calculation 2 9 20 3" xfId="4907" xr:uid="{00000000-0005-0000-0000-000068040000}"/>
    <cellStyle name="Calculation 2 9 21" xfId="507" xr:uid="{00000000-0005-0000-0000-000069040000}"/>
    <cellStyle name="Calculation 2 9 21 2" xfId="2914" xr:uid="{00000000-0005-0000-0000-00006A040000}"/>
    <cellStyle name="Calculation 2 9 21 3" xfId="4908" xr:uid="{00000000-0005-0000-0000-00006B040000}"/>
    <cellStyle name="Calculation 2 9 22" xfId="508" xr:uid="{00000000-0005-0000-0000-00006C040000}"/>
    <cellStyle name="Calculation 2 9 22 2" xfId="2915" xr:uid="{00000000-0005-0000-0000-00006D040000}"/>
    <cellStyle name="Calculation 2 9 22 3" xfId="4909" xr:uid="{00000000-0005-0000-0000-00006E040000}"/>
    <cellStyle name="Calculation 2 9 23" xfId="509" xr:uid="{00000000-0005-0000-0000-00006F040000}"/>
    <cellStyle name="Calculation 2 9 23 2" xfId="2916" xr:uid="{00000000-0005-0000-0000-000070040000}"/>
    <cellStyle name="Calculation 2 9 23 3" xfId="4910" xr:uid="{00000000-0005-0000-0000-000071040000}"/>
    <cellStyle name="Calculation 2 9 24" xfId="2901" xr:uid="{00000000-0005-0000-0000-000072040000}"/>
    <cellStyle name="Calculation 2 9 25" xfId="4895" xr:uid="{00000000-0005-0000-0000-000073040000}"/>
    <cellStyle name="Calculation 2 9 3" xfId="510" xr:uid="{00000000-0005-0000-0000-000074040000}"/>
    <cellStyle name="Calculation 2 9 3 2" xfId="2917" xr:uid="{00000000-0005-0000-0000-000075040000}"/>
    <cellStyle name="Calculation 2 9 3 3" xfId="4911" xr:uid="{00000000-0005-0000-0000-000076040000}"/>
    <cellStyle name="Calculation 2 9 4" xfId="511" xr:uid="{00000000-0005-0000-0000-000077040000}"/>
    <cellStyle name="Calculation 2 9 4 2" xfId="2918" xr:uid="{00000000-0005-0000-0000-000078040000}"/>
    <cellStyle name="Calculation 2 9 4 3" xfId="4912" xr:uid="{00000000-0005-0000-0000-000079040000}"/>
    <cellStyle name="Calculation 2 9 5" xfId="512" xr:uid="{00000000-0005-0000-0000-00007A040000}"/>
    <cellStyle name="Calculation 2 9 5 2" xfId="2919" xr:uid="{00000000-0005-0000-0000-00007B040000}"/>
    <cellStyle name="Calculation 2 9 5 3" xfId="4913" xr:uid="{00000000-0005-0000-0000-00007C040000}"/>
    <cellStyle name="Calculation 2 9 6" xfId="513" xr:uid="{00000000-0005-0000-0000-00007D040000}"/>
    <cellStyle name="Calculation 2 9 6 2" xfId="2920" xr:uid="{00000000-0005-0000-0000-00007E040000}"/>
    <cellStyle name="Calculation 2 9 6 3" xfId="4914" xr:uid="{00000000-0005-0000-0000-00007F040000}"/>
    <cellStyle name="Calculation 2 9 7" xfId="514" xr:uid="{00000000-0005-0000-0000-000080040000}"/>
    <cellStyle name="Calculation 2 9 7 2" xfId="2921" xr:uid="{00000000-0005-0000-0000-000081040000}"/>
    <cellStyle name="Calculation 2 9 7 3" xfId="4915" xr:uid="{00000000-0005-0000-0000-000082040000}"/>
    <cellStyle name="Calculation 2 9 8" xfId="515" xr:uid="{00000000-0005-0000-0000-000083040000}"/>
    <cellStyle name="Calculation 2 9 8 2" xfId="2922" xr:uid="{00000000-0005-0000-0000-000084040000}"/>
    <cellStyle name="Calculation 2 9 8 3" xfId="4916" xr:uid="{00000000-0005-0000-0000-000085040000}"/>
    <cellStyle name="Calculation 2 9 9" xfId="516" xr:uid="{00000000-0005-0000-0000-000086040000}"/>
    <cellStyle name="Calculation 2 9 9 2" xfId="2923" xr:uid="{00000000-0005-0000-0000-000087040000}"/>
    <cellStyle name="Calculation 2 9 9 3" xfId="4917" xr:uid="{00000000-0005-0000-0000-000088040000}"/>
    <cellStyle name="Calculation 3" xfId="4752" xr:uid="{00000000-0005-0000-0000-000089040000}"/>
    <cellStyle name="Calculation 4" xfId="2475" xr:uid="{00000000-0005-0000-0000-00008A040000}"/>
    <cellStyle name="Calculation 5" xfId="4729" xr:uid="{00000000-0005-0000-0000-00008B040000}"/>
    <cellStyle name="Check Cell" xfId="27" builtinId="23" customBuiltin="1"/>
    <cellStyle name="Check Cell 2" xfId="517" xr:uid="{00000000-0005-0000-0000-00008D040000}"/>
    <cellStyle name="Check Cell 2 2" xfId="518" xr:uid="{00000000-0005-0000-0000-00008E040000}"/>
    <cellStyle name="Check Cell 3" xfId="4754" xr:uid="{00000000-0005-0000-0000-00008F040000}"/>
    <cellStyle name="CollegeHeader1" xfId="77" xr:uid="{00000000-0005-0000-0000-000090040000}"/>
    <cellStyle name="ColumnAttributeAbovePrompt" xfId="28" xr:uid="{00000000-0005-0000-0000-000091040000}"/>
    <cellStyle name="ColumnAttributePrompt" xfId="29" xr:uid="{00000000-0005-0000-0000-000092040000}"/>
    <cellStyle name="ColumnAttributeValue" xfId="30" xr:uid="{00000000-0005-0000-0000-000093040000}"/>
    <cellStyle name="ColumnHeadingPrompt" xfId="31" xr:uid="{00000000-0005-0000-0000-000094040000}"/>
    <cellStyle name="ColumnHeadingValue" xfId="32" xr:uid="{00000000-0005-0000-0000-000095040000}"/>
    <cellStyle name="Comma" xfId="2446" builtinId="3"/>
    <cellStyle name="Comma [0] 2" xfId="4738" xr:uid="{00000000-0005-0000-0000-000097040000}"/>
    <cellStyle name="Comma 10" xfId="519" xr:uid="{00000000-0005-0000-0000-000098040000}"/>
    <cellStyle name="Comma 10 10" xfId="6675" xr:uid="{00000000-0005-0000-0000-000099040000}"/>
    <cellStyle name="Comma 10 2" xfId="520" xr:uid="{00000000-0005-0000-0000-00009A040000}"/>
    <cellStyle name="Comma 10 2 2" xfId="6676" xr:uid="{00000000-0005-0000-0000-00009B040000}"/>
    <cellStyle name="Comma 10 3" xfId="521" xr:uid="{00000000-0005-0000-0000-00009C040000}"/>
    <cellStyle name="Comma 10 3 2" xfId="6677" xr:uid="{00000000-0005-0000-0000-00009D040000}"/>
    <cellStyle name="Comma 10 4" xfId="522" xr:uid="{00000000-0005-0000-0000-00009E040000}"/>
    <cellStyle name="Comma 10 4 2" xfId="6678" xr:uid="{00000000-0005-0000-0000-00009F040000}"/>
    <cellStyle name="Comma 10 5" xfId="523" xr:uid="{00000000-0005-0000-0000-0000A0040000}"/>
    <cellStyle name="Comma 10 5 2" xfId="6679" xr:uid="{00000000-0005-0000-0000-0000A1040000}"/>
    <cellStyle name="Comma 10 6" xfId="524" xr:uid="{00000000-0005-0000-0000-0000A2040000}"/>
    <cellStyle name="Comma 10 6 2" xfId="6680" xr:uid="{00000000-0005-0000-0000-0000A3040000}"/>
    <cellStyle name="Comma 10 7" xfId="525" xr:uid="{00000000-0005-0000-0000-0000A4040000}"/>
    <cellStyle name="Comma 10 7 2" xfId="6681" xr:uid="{00000000-0005-0000-0000-0000A5040000}"/>
    <cellStyle name="Comma 10 8" xfId="526" xr:uid="{00000000-0005-0000-0000-0000A6040000}"/>
    <cellStyle name="Comma 10 8 2" xfId="6682" xr:uid="{00000000-0005-0000-0000-0000A7040000}"/>
    <cellStyle name="Comma 10 9" xfId="527" xr:uid="{00000000-0005-0000-0000-0000A8040000}"/>
    <cellStyle name="Comma 10 9 2" xfId="6683" xr:uid="{00000000-0005-0000-0000-0000A9040000}"/>
    <cellStyle name="Comma 11" xfId="6622" xr:uid="{00000000-0005-0000-0000-0000AA040000}"/>
    <cellStyle name="Comma 12" xfId="6668" xr:uid="{00000000-0005-0000-0000-0000AB040000}"/>
    <cellStyle name="Comma 13" xfId="6620" xr:uid="{00000000-0005-0000-0000-0000AC040000}"/>
    <cellStyle name="Comma 14" xfId="6666" xr:uid="{00000000-0005-0000-0000-0000AD040000}"/>
    <cellStyle name="Comma 15" xfId="6624" xr:uid="{00000000-0005-0000-0000-0000AE040000}"/>
    <cellStyle name="Comma 16" xfId="6664" xr:uid="{00000000-0005-0000-0000-0000AF040000}"/>
    <cellStyle name="Comma 17" xfId="6657" xr:uid="{00000000-0005-0000-0000-0000B0040000}"/>
    <cellStyle name="Comma 18" xfId="6653" xr:uid="{00000000-0005-0000-0000-0000B1040000}"/>
    <cellStyle name="Comma 19" xfId="6648" xr:uid="{00000000-0005-0000-0000-0000B2040000}"/>
    <cellStyle name="Comma 2" xfId="73" xr:uid="{00000000-0005-0000-0000-0000B3040000}"/>
    <cellStyle name="Comma 2 10" xfId="2377" xr:uid="{00000000-0005-0000-0000-0000B4040000}"/>
    <cellStyle name="Comma 2 10 2" xfId="4724" xr:uid="{00000000-0005-0000-0000-0000B5040000}"/>
    <cellStyle name="Comma 2 11" xfId="2489" xr:uid="{00000000-0005-0000-0000-0000B6040000}"/>
    <cellStyle name="Comma 2 2" xfId="528" xr:uid="{00000000-0005-0000-0000-0000B7040000}"/>
    <cellStyle name="Comma 2 2 10" xfId="529" xr:uid="{00000000-0005-0000-0000-0000B8040000}"/>
    <cellStyle name="Comma 2 2 2" xfId="530" xr:uid="{00000000-0005-0000-0000-0000B9040000}"/>
    <cellStyle name="Comma 2 2 2 2" xfId="6684" xr:uid="{00000000-0005-0000-0000-0000BA040000}"/>
    <cellStyle name="Comma 2 2 3" xfId="531" xr:uid="{00000000-0005-0000-0000-0000BB040000}"/>
    <cellStyle name="Comma 2 2 3 2" xfId="6685" xr:uid="{00000000-0005-0000-0000-0000BC040000}"/>
    <cellStyle name="Comma 2 2 4" xfId="532" xr:uid="{00000000-0005-0000-0000-0000BD040000}"/>
    <cellStyle name="Comma 2 2 4 2" xfId="6686" xr:uid="{00000000-0005-0000-0000-0000BE040000}"/>
    <cellStyle name="Comma 2 2 5" xfId="533" xr:uid="{00000000-0005-0000-0000-0000BF040000}"/>
    <cellStyle name="Comma 2 2 5 2" xfId="6687" xr:uid="{00000000-0005-0000-0000-0000C0040000}"/>
    <cellStyle name="Comma 2 2 6" xfId="534" xr:uid="{00000000-0005-0000-0000-0000C1040000}"/>
    <cellStyle name="Comma 2 2 6 2" xfId="6688" xr:uid="{00000000-0005-0000-0000-0000C2040000}"/>
    <cellStyle name="Comma 2 2 7" xfId="535" xr:uid="{00000000-0005-0000-0000-0000C3040000}"/>
    <cellStyle name="Comma 2 2 7 2" xfId="6689" xr:uid="{00000000-0005-0000-0000-0000C4040000}"/>
    <cellStyle name="Comma 2 2 8" xfId="536" xr:uid="{00000000-0005-0000-0000-0000C5040000}"/>
    <cellStyle name="Comma 2 2 8 2" xfId="6690" xr:uid="{00000000-0005-0000-0000-0000C6040000}"/>
    <cellStyle name="Comma 2 2 9" xfId="537" xr:uid="{00000000-0005-0000-0000-0000C7040000}"/>
    <cellStyle name="Comma 2 2 9 2" xfId="6691" xr:uid="{00000000-0005-0000-0000-0000C8040000}"/>
    <cellStyle name="Comma 2 3" xfId="538" xr:uid="{00000000-0005-0000-0000-0000C9040000}"/>
    <cellStyle name="Comma 2 4" xfId="539" xr:uid="{00000000-0005-0000-0000-0000CA040000}"/>
    <cellStyle name="Comma 2 5" xfId="540" xr:uid="{00000000-0005-0000-0000-0000CB040000}"/>
    <cellStyle name="Comma 2 6" xfId="541" xr:uid="{00000000-0005-0000-0000-0000CC040000}"/>
    <cellStyle name="Comma 2 7" xfId="542" xr:uid="{00000000-0005-0000-0000-0000CD040000}"/>
    <cellStyle name="Comma 2 8" xfId="543" xr:uid="{00000000-0005-0000-0000-0000CE040000}"/>
    <cellStyle name="Comma 2 9" xfId="544" xr:uid="{00000000-0005-0000-0000-0000CF040000}"/>
    <cellStyle name="Comma 20" xfId="6644" xr:uid="{00000000-0005-0000-0000-0000D0040000}"/>
    <cellStyle name="Comma 21" xfId="6639" xr:uid="{00000000-0005-0000-0000-0000D1040000}"/>
    <cellStyle name="Comma 22" xfId="6635" xr:uid="{00000000-0005-0000-0000-0000D2040000}"/>
    <cellStyle name="Comma 23" xfId="6629" xr:uid="{00000000-0005-0000-0000-0000D3040000}"/>
    <cellStyle name="Comma 24" xfId="6634" xr:uid="{00000000-0005-0000-0000-0000D4040000}"/>
    <cellStyle name="Comma 25" xfId="6662" xr:uid="{00000000-0005-0000-0000-0000D5040000}"/>
    <cellStyle name="Comma 26" xfId="6650" xr:uid="{00000000-0005-0000-0000-0000D6040000}"/>
    <cellStyle name="Comma 27" xfId="6659" xr:uid="{00000000-0005-0000-0000-0000D7040000}"/>
    <cellStyle name="Comma 28" xfId="6643" xr:uid="{00000000-0005-0000-0000-0000D8040000}"/>
    <cellStyle name="Comma 29" xfId="6651" xr:uid="{00000000-0005-0000-0000-0000D9040000}"/>
    <cellStyle name="Comma 3" xfId="78" xr:uid="{00000000-0005-0000-0000-0000DA040000}"/>
    <cellStyle name="Comma 3 10" xfId="2494" xr:uid="{00000000-0005-0000-0000-0000DB040000}"/>
    <cellStyle name="Comma 3 2" xfId="545" xr:uid="{00000000-0005-0000-0000-0000DC040000}"/>
    <cellStyle name="Comma 3 2 2" xfId="6692" xr:uid="{00000000-0005-0000-0000-0000DD040000}"/>
    <cellStyle name="Comma 3 3" xfId="546" xr:uid="{00000000-0005-0000-0000-0000DE040000}"/>
    <cellStyle name="Comma 3 3 2" xfId="6693" xr:uid="{00000000-0005-0000-0000-0000DF040000}"/>
    <cellStyle name="Comma 3 4" xfId="547" xr:uid="{00000000-0005-0000-0000-0000E0040000}"/>
    <cellStyle name="Comma 3 4 2" xfId="6694" xr:uid="{00000000-0005-0000-0000-0000E1040000}"/>
    <cellStyle name="Comma 3 5" xfId="548" xr:uid="{00000000-0005-0000-0000-0000E2040000}"/>
    <cellStyle name="Comma 3 5 2" xfId="6695" xr:uid="{00000000-0005-0000-0000-0000E3040000}"/>
    <cellStyle name="Comma 3 6" xfId="549" xr:uid="{00000000-0005-0000-0000-0000E4040000}"/>
    <cellStyle name="Comma 3 6 2" xfId="6696" xr:uid="{00000000-0005-0000-0000-0000E5040000}"/>
    <cellStyle name="Comma 3 7" xfId="550" xr:uid="{00000000-0005-0000-0000-0000E6040000}"/>
    <cellStyle name="Comma 3 7 2" xfId="6697" xr:uid="{00000000-0005-0000-0000-0000E7040000}"/>
    <cellStyle name="Comma 3 8" xfId="551" xr:uid="{00000000-0005-0000-0000-0000E8040000}"/>
    <cellStyle name="Comma 3 8 2" xfId="6698" xr:uid="{00000000-0005-0000-0000-0000E9040000}"/>
    <cellStyle name="Comma 3 9" xfId="552" xr:uid="{00000000-0005-0000-0000-0000EA040000}"/>
    <cellStyle name="Comma 3 9 2" xfId="6699" xr:uid="{00000000-0005-0000-0000-0000EB040000}"/>
    <cellStyle name="Comma 30" xfId="6637" xr:uid="{00000000-0005-0000-0000-0000EC040000}"/>
    <cellStyle name="Comma 31" xfId="6642" xr:uid="{00000000-0005-0000-0000-0000ED040000}"/>
    <cellStyle name="Comma 32" xfId="6631" xr:uid="{00000000-0005-0000-0000-0000EE040000}"/>
    <cellStyle name="Comma 33" xfId="6633" xr:uid="{00000000-0005-0000-0000-0000EF040000}"/>
    <cellStyle name="Comma 34" xfId="6628" xr:uid="{00000000-0005-0000-0000-0000F0040000}"/>
    <cellStyle name="Comma 35" xfId="6626" xr:uid="{00000000-0005-0000-0000-0000F1040000}"/>
    <cellStyle name="Comma 36" xfId="6627" xr:uid="{00000000-0005-0000-0000-0000F2040000}"/>
    <cellStyle name="Comma 37" xfId="6625" xr:uid="{00000000-0005-0000-0000-0000F3040000}"/>
    <cellStyle name="Comma 38" xfId="6753" xr:uid="{00000000-0005-0000-0000-0000F4040000}"/>
    <cellStyle name="Comma 4" xfId="79" xr:uid="{00000000-0005-0000-0000-0000F5040000}"/>
    <cellStyle name="Comma 4 10" xfId="2495" xr:uid="{00000000-0005-0000-0000-0000F6040000}"/>
    <cellStyle name="Comma 4 2" xfId="553" xr:uid="{00000000-0005-0000-0000-0000F7040000}"/>
    <cellStyle name="Comma 4 2 2" xfId="6700" xr:uid="{00000000-0005-0000-0000-0000F8040000}"/>
    <cellStyle name="Comma 4 3" xfId="554" xr:uid="{00000000-0005-0000-0000-0000F9040000}"/>
    <cellStyle name="Comma 4 3 2" xfId="6701" xr:uid="{00000000-0005-0000-0000-0000FA040000}"/>
    <cellStyle name="Comma 4 4" xfId="555" xr:uid="{00000000-0005-0000-0000-0000FB040000}"/>
    <cellStyle name="Comma 4 4 2" xfId="6702" xr:uid="{00000000-0005-0000-0000-0000FC040000}"/>
    <cellStyle name="Comma 4 5" xfId="556" xr:uid="{00000000-0005-0000-0000-0000FD040000}"/>
    <cellStyle name="Comma 4 5 2" xfId="6703" xr:uid="{00000000-0005-0000-0000-0000FE040000}"/>
    <cellStyle name="Comma 4 6" xfId="557" xr:uid="{00000000-0005-0000-0000-0000FF040000}"/>
    <cellStyle name="Comma 4 6 2" xfId="6704" xr:uid="{00000000-0005-0000-0000-000000050000}"/>
    <cellStyle name="Comma 4 7" xfId="558" xr:uid="{00000000-0005-0000-0000-000001050000}"/>
    <cellStyle name="Comma 4 7 2" xfId="6705" xr:uid="{00000000-0005-0000-0000-000002050000}"/>
    <cellStyle name="Comma 4 8" xfId="559" xr:uid="{00000000-0005-0000-0000-000003050000}"/>
    <cellStyle name="Comma 4 8 2" xfId="6706" xr:uid="{00000000-0005-0000-0000-000004050000}"/>
    <cellStyle name="Comma 4 9" xfId="560" xr:uid="{00000000-0005-0000-0000-000005050000}"/>
    <cellStyle name="Comma 4 9 2" xfId="6707" xr:uid="{00000000-0005-0000-0000-000006050000}"/>
    <cellStyle name="Comma 5" xfId="93" xr:uid="{00000000-0005-0000-0000-000007050000}"/>
    <cellStyle name="Comma 5 10" xfId="2504" xr:uid="{00000000-0005-0000-0000-000008050000}"/>
    <cellStyle name="Comma 5 2" xfId="561" xr:uid="{00000000-0005-0000-0000-000009050000}"/>
    <cellStyle name="Comma 5 2 2" xfId="6708" xr:uid="{00000000-0005-0000-0000-00000A050000}"/>
    <cellStyle name="Comma 5 3" xfId="562" xr:uid="{00000000-0005-0000-0000-00000B050000}"/>
    <cellStyle name="Comma 5 3 2" xfId="6709" xr:uid="{00000000-0005-0000-0000-00000C050000}"/>
    <cellStyle name="Comma 5 4" xfId="563" xr:uid="{00000000-0005-0000-0000-00000D050000}"/>
    <cellStyle name="Comma 5 4 2" xfId="6710" xr:uid="{00000000-0005-0000-0000-00000E050000}"/>
    <cellStyle name="Comma 5 5" xfId="564" xr:uid="{00000000-0005-0000-0000-00000F050000}"/>
    <cellStyle name="Comma 5 5 2" xfId="6711" xr:uid="{00000000-0005-0000-0000-000010050000}"/>
    <cellStyle name="Comma 5 6" xfId="565" xr:uid="{00000000-0005-0000-0000-000011050000}"/>
    <cellStyle name="Comma 5 6 2" xfId="6712" xr:uid="{00000000-0005-0000-0000-000012050000}"/>
    <cellStyle name="Comma 5 7" xfId="566" xr:uid="{00000000-0005-0000-0000-000013050000}"/>
    <cellStyle name="Comma 5 7 2" xfId="6713" xr:uid="{00000000-0005-0000-0000-000014050000}"/>
    <cellStyle name="Comma 5 8" xfId="567" xr:uid="{00000000-0005-0000-0000-000015050000}"/>
    <cellStyle name="Comma 5 8 2" xfId="6714" xr:uid="{00000000-0005-0000-0000-000016050000}"/>
    <cellStyle name="Comma 5 9" xfId="568" xr:uid="{00000000-0005-0000-0000-000017050000}"/>
    <cellStyle name="Comma 5 9 2" xfId="6715" xr:uid="{00000000-0005-0000-0000-000018050000}"/>
    <cellStyle name="Comma 6" xfId="2424" xr:uid="{00000000-0005-0000-0000-000019050000}"/>
    <cellStyle name="Comma 6 2" xfId="569" xr:uid="{00000000-0005-0000-0000-00001A050000}"/>
    <cellStyle name="Comma 6 2 2" xfId="6716" xr:uid="{00000000-0005-0000-0000-00001B050000}"/>
    <cellStyle name="Comma 6 3" xfId="570" xr:uid="{00000000-0005-0000-0000-00001C050000}"/>
    <cellStyle name="Comma 6 3 2" xfId="6717" xr:uid="{00000000-0005-0000-0000-00001D050000}"/>
    <cellStyle name="Comma 6 4" xfId="571" xr:uid="{00000000-0005-0000-0000-00001E050000}"/>
    <cellStyle name="Comma 6 4 2" xfId="6718" xr:uid="{00000000-0005-0000-0000-00001F050000}"/>
    <cellStyle name="Comma 6 5" xfId="572" xr:uid="{00000000-0005-0000-0000-000020050000}"/>
    <cellStyle name="Comma 6 5 2" xfId="6719" xr:uid="{00000000-0005-0000-0000-000021050000}"/>
    <cellStyle name="Comma 6 6" xfId="573" xr:uid="{00000000-0005-0000-0000-000022050000}"/>
    <cellStyle name="Comma 6 6 2" xfId="6720" xr:uid="{00000000-0005-0000-0000-000023050000}"/>
    <cellStyle name="Comma 6 7" xfId="574" xr:uid="{00000000-0005-0000-0000-000024050000}"/>
    <cellStyle name="Comma 6 7 2" xfId="6721" xr:uid="{00000000-0005-0000-0000-000025050000}"/>
    <cellStyle name="Comma 6 8" xfId="575" xr:uid="{00000000-0005-0000-0000-000026050000}"/>
    <cellStyle name="Comma 6 8 2" xfId="6722" xr:uid="{00000000-0005-0000-0000-000027050000}"/>
    <cellStyle name="Comma 6 9" xfId="576" xr:uid="{00000000-0005-0000-0000-000028050000}"/>
    <cellStyle name="Comma 6 9 2" xfId="6723" xr:uid="{00000000-0005-0000-0000-000029050000}"/>
    <cellStyle name="Comma 7" xfId="2443" xr:uid="{00000000-0005-0000-0000-00002A050000}"/>
    <cellStyle name="Comma 7 2" xfId="577" xr:uid="{00000000-0005-0000-0000-00002B050000}"/>
    <cellStyle name="Comma 7 2 2" xfId="6724" xr:uid="{00000000-0005-0000-0000-00002C050000}"/>
    <cellStyle name="Comma 7 3" xfId="578" xr:uid="{00000000-0005-0000-0000-00002D050000}"/>
    <cellStyle name="Comma 7 3 2" xfId="6725" xr:uid="{00000000-0005-0000-0000-00002E050000}"/>
    <cellStyle name="Comma 7 4" xfId="579" xr:uid="{00000000-0005-0000-0000-00002F050000}"/>
    <cellStyle name="Comma 7 4 2" xfId="6726" xr:uid="{00000000-0005-0000-0000-000030050000}"/>
    <cellStyle name="Comma 7 5" xfId="580" xr:uid="{00000000-0005-0000-0000-000031050000}"/>
    <cellStyle name="Comma 7 5 2" xfId="6727" xr:uid="{00000000-0005-0000-0000-000032050000}"/>
    <cellStyle name="Comma 7 6" xfId="581" xr:uid="{00000000-0005-0000-0000-000033050000}"/>
    <cellStyle name="Comma 7 6 2" xfId="6728" xr:uid="{00000000-0005-0000-0000-000034050000}"/>
    <cellStyle name="Comma 7 7" xfId="582" xr:uid="{00000000-0005-0000-0000-000035050000}"/>
    <cellStyle name="Comma 7 7 2" xfId="6729" xr:uid="{00000000-0005-0000-0000-000036050000}"/>
    <cellStyle name="Comma 7 8" xfId="583" xr:uid="{00000000-0005-0000-0000-000037050000}"/>
    <cellStyle name="Comma 7 8 2" xfId="6730" xr:uid="{00000000-0005-0000-0000-000038050000}"/>
    <cellStyle name="Comma 7 9" xfId="584" xr:uid="{00000000-0005-0000-0000-000039050000}"/>
    <cellStyle name="Comma 7 9 2" xfId="6731" xr:uid="{00000000-0005-0000-0000-00003A050000}"/>
    <cellStyle name="Comma 8" xfId="4737" xr:uid="{00000000-0005-0000-0000-00003B050000}"/>
    <cellStyle name="Comma 8 2" xfId="585" xr:uid="{00000000-0005-0000-0000-00003C050000}"/>
    <cellStyle name="Comma 8 2 2" xfId="6732" xr:uid="{00000000-0005-0000-0000-00003D050000}"/>
    <cellStyle name="Comma 8 3" xfId="586" xr:uid="{00000000-0005-0000-0000-00003E050000}"/>
    <cellStyle name="Comma 8 3 2" xfId="6733" xr:uid="{00000000-0005-0000-0000-00003F050000}"/>
    <cellStyle name="Comma 8 4" xfId="587" xr:uid="{00000000-0005-0000-0000-000040050000}"/>
    <cellStyle name="Comma 8 4 2" xfId="6734" xr:uid="{00000000-0005-0000-0000-000041050000}"/>
    <cellStyle name="Comma 8 5" xfId="588" xr:uid="{00000000-0005-0000-0000-000042050000}"/>
    <cellStyle name="Comma 8 5 2" xfId="6735" xr:uid="{00000000-0005-0000-0000-000043050000}"/>
    <cellStyle name="Comma 8 6" xfId="589" xr:uid="{00000000-0005-0000-0000-000044050000}"/>
    <cellStyle name="Comma 8 6 2" xfId="6736" xr:uid="{00000000-0005-0000-0000-000045050000}"/>
    <cellStyle name="Comma 8 7" xfId="590" xr:uid="{00000000-0005-0000-0000-000046050000}"/>
    <cellStyle name="Comma 8 7 2" xfId="6737" xr:uid="{00000000-0005-0000-0000-000047050000}"/>
    <cellStyle name="Comma 8 8" xfId="591" xr:uid="{00000000-0005-0000-0000-000048050000}"/>
    <cellStyle name="Comma 8 8 2" xfId="6738" xr:uid="{00000000-0005-0000-0000-000049050000}"/>
    <cellStyle name="Comma 8 9" xfId="592" xr:uid="{00000000-0005-0000-0000-00004A050000}"/>
    <cellStyle name="Comma 8 9 2" xfId="6739" xr:uid="{00000000-0005-0000-0000-00004B050000}"/>
    <cellStyle name="Comma 9" xfId="4733" xr:uid="{00000000-0005-0000-0000-00004C050000}"/>
    <cellStyle name="Comma 9 2" xfId="593" xr:uid="{00000000-0005-0000-0000-00004D050000}"/>
    <cellStyle name="Comma 9 2 2" xfId="6740" xr:uid="{00000000-0005-0000-0000-00004E050000}"/>
    <cellStyle name="Comma 9 3" xfId="594" xr:uid="{00000000-0005-0000-0000-00004F050000}"/>
    <cellStyle name="Comma 9 3 2" xfId="6741" xr:uid="{00000000-0005-0000-0000-000050050000}"/>
    <cellStyle name="Comma 9 4" xfId="595" xr:uid="{00000000-0005-0000-0000-000051050000}"/>
    <cellStyle name="Comma 9 4 2" xfId="6742" xr:uid="{00000000-0005-0000-0000-000052050000}"/>
    <cellStyle name="Comma 9 5" xfId="596" xr:uid="{00000000-0005-0000-0000-000053050000}"/>
    <cellStyle name="Comma 9 5 2" xfId="6743" xr:uid="{00000000-0005-0000-0000-000054050000}"/>
    <cellStyle name="Comma 9 6" xfId="597" xr:uid="{00000000-0005-0000-0000-000055050000}"/>
    <cellStyle name="Comma 9 6 2" xfId="6744" xr:uid="{00000000-0005-0000-0000-000056050000}"/>
    <cellStyle name="Comma 9 7" xfId="598" xr:uid="{00000000-0005-0000-0000-000057050000}"/>
    <cellStyle name="Comma 9 7 2" xfId="6745" xr:uid="{00000000-0005-0000-0000-000058050000}"/>
    <cellStyle name="Comma 9 8" xfId="599" xr:uid="{00000000-0005-0000-0000-000059050000}"/>
    <cellStyle name="Comma 9 8 2" xfId="6746" xr:uid="{00000000-0005-0000-0000-00005A050000}"/>
    <cellStyle name="Comma 9 9" xfId="600" xr:uid="{00000000-0005-0000-0000-00005B050000}"/>
    <cellStyle name="Comma 9 9 2" xfId="6747" xr:uid="{00000000-0005-0000-0000-00005C050000}"/>
    <cellStyle name="Currency [0] 2" xfId="4740" xr:uid="{00000000-0005-0000-0000-00005D050000}"/>
    <cellStyle name="Currency 10" xfId="6673" xr:uid="{00000000-0005-0000-0000-00005E050000}"/>
    <cellStyle name="Currency 11" xfId="6671" xr:uid="{00000000-0005-0000-0000-00005F050000}"/>
    <cellStyle name="Currency 12" xfId="6621" xr:uid="{00000000-0005-0000-0000-000060050000}"/>
    <cellStyle name="Currency 13" xfId="6667" xr:uid="{00000000-0005-0000-0000-000061050000}"/>
    <cellStyle name="Currency 14" xfId="6672" xr:uid="{00000000-0005-0000-0000-000062050000}"/>
    <cellStyle name="Currency 15" xfId="6665" xr:uid="{00000000-0005-0000-0000-000063050000}"/>
    <cellStyle name="Currency 16" xfId="6658" xr:uid="{00000000-0005-0000-0000-000064050000}"/>
    <cellStyle name="Currency 17" xfId="6655" xr:uid="{00000000-0005-0000-0000-000065050000}"/>
    <cellStyle name="Currency 18" xfId="6649" xr:uid="{00000000-0005-0000-0000-000066050000}"/>
    <cellStyle name="Currency 19" xfId="6646" xr:uid="{00000000-0005-0000-0000-000067050000}"/>
    <cellStyle name="Currency 2" xfId="74" xr:uid="{00000000-0005-0000-0000-000068050000}"/>
    <cellStyle name="Currency 2 2" xfId="601" xr:uid="{00000000-0005-0000-0000-000069050000}"/>
    <cellStyle name="Currency 2 2 2" xfId="602" xr:uid="{00000000-0005-0000-0000-00006A050000}"/>
    <cellStyle name="Currency 2 3" xfId="2490" xr:uid="{00000000-0005-0000-0000-00006B050000}"/>
    <cellStyle name="Currency 20" xfId="6640" xr:uid="{00000000-0005-0000-0000-00006C050000}"/>
    <cellStyle name="Currency 21" xfId="6636" xr:uid="{00000000-0005-0000-0000-00006D050000}"/>
    <cellStyle name="Currency 22" xfId="6630" xr:uid="{00000000-0005-0000-0000-00006E050000}"/>
    <cellStyle name="Currency 23" xfId="6669" xr:uid="{00000000-0005-0000-0000-00006F050000}"/>
    <cellStyle name="Currency 24" xfId="6663" xr:uid="{00000000-0005-0000-0000-000070050000}"/>
    <cellStyle name="Currency 25" xfId="6660" xr:uid="{00000000-0005-0000-0000-000071050000}"/>
    <cellStyle name="Currency 26" xfId="6661" xr:uid="{00000000-0005-0000-0000-000072050000}"/>
    <cellStyle name="Currency 27" xfId="6654" xr:uid="{00000000-0005-0000-0000-000073050000}"/>
    <cellStyle name="Currency 28" xfId="6656" xr:uid="{00000000-0005-0000-0000-000074050000}"/>
    <cellStyle name="Currency 29" xfId="6645" xr:uid="{00000000-0005-0000-0000-000075050000}"/>
    <cellStyle name="Currency 3" xfId="80" xr:uid="{00000000-0005-0000-0000-000076050000}"/>
    <cellStyle name="Currency 3 2" xfId="603" xr:uid="{00000000-0005-0000-0000-000077050000}"/>
    <cellStyle name="Currency 3 3" xfId="2496" xr:uid="{00000000-0005-0000-0000-000078050000}"/>
    <cellStyle name="Currency 30" xfId="6647" xr:uid="{00000000-0005-0000-0000-000079050000}"/>
    <cellStyle name="Currency 31" xfId="6638" xr:uid="{00000000-0005-0000-0000-00007A050000}"/>
    <cellStyle name="Currency 32" xfId="6641" xr:uid="{00000000-0005-0000-0000-00007B050000}"/>
    <cellStyle name="Currency 33" xfId="6652" xr:uid="{00000000-0005-0000-0000-00007C050000}"/>
    <cellStyle name="Currency 34" xfId="6632" xr:uid="{00000000-0005-0000-0000-00007D050000}"/>
    <cellStyle name="Currency 35" xfId="6754" xr:uid="{00000000-0005-0000-0000-00007E050000}"/>
    <cellStyle name="Currency 4" xfId="604" xr:uid="{00000000-0005-0000-0000-00007F050000}"/>
    <cellStyle name="Currency 5" xfId="605" xr:uid="{00000000-0005-0000-0000-000080050000}"/>
    <cellStyle name="Currency 5 2" xfId="6748" xr:uid="{00000000-0005-0000-0000-000081050000}"/>
    <cellStyle name="Currency 6" xfId="606" xr:uid="{00000000-0005-0000-0000-000082050000}"/>
    <cellStyle name="Currency 7" xfId="4739" xr:uid="{00000000-0005-0000-0000-000083050000}"/>
    <cellStyle name="Currency 8" xfId="6623" xr:uid="{00000000-0005-0000-0000-000084050000}"/>
    <cellStyle name="Currency 9" xfId="6670" xr:uid="{00000000-0005-0000-0000-000085050000}"/>
    <cellStyle name="Dane wejściowe" xfId="607" xr:uid="{00000000-0005-0000-0000-000086050000}"/>
    <cellStyle name="Dane wejściowe 10" xfId="608" xr:uid="{00000000-0005-0000-0000-000087050000}"/>
    <cellStyle name="Dane wejściowe 10 2" xfId="3015" xr:uid="{00000000-0005-0000-0000-000088050000}"/>
    <cellStyle name="Dane wejściowe 10 3" xfId="4919" xr:uid="{00000000-0005-0000-0000-000089050000}"/>
    <cellStyle name="Dane wejściowe 11" xfId="609" xr:uid="{00000000-0005-0000-0000-00008A050000}"/>
    <cellStyle name="Dane wejściowe 11 2" xfId="3016" xr:uid="{00000000-0005-0000-0000-00008B050000}"/>
    <cellStyle name="Dane wejściowe 11 3" xfId="4920" xr:uid="{00000000-0005-0000-0000-00008C050000}"/>
    <cellStyle name="Dane wejściowe 12" xfId="610" xr:uid="{00000000-0005-0000-0000-00008D050000}"/>
    <cellStyle name="Dane wejściowe 12 2" xfId="3017" xr:uid="{00000000-0005-0000-0000-00008E050000}"/>
    <cellStyle name="Dane wejściowe 12 3" xfId="4921" xr:uid="{00000000-0005-0000-0000-00008F050000}"/>
    <cellStyle name="Dane wejściowe 13" xfId="611" xr:uid="{00000000-0005-0000-0000-000090050000}"/>
    <cellStyle name="Dane wejściowe 13 2" xfId="3018" xr:uid="{00000000-0005-0000-0000-000091050000}"/>
    <cellStyle name="Dane wejściowe 13 3" xfId="4922" xr:uid="{00000000-0005-0000-0000-000092050000}"/>
    <cellStyle name="Dane wejściowe 14" xfId="612" xr:uid="{00000000-0005-0000-0000-000093050000}"/>
    <cellStyle name="Dane wejściowe 14 2" xfId="3019" xr:uid="{00000000-0005-0000-0000-000094050000}"/>
    <cellStyle name="Dane wejściowe 14 3" xfId="4923" xr:uid="{00000000-0005-0000-0000-000095050000}"/>
    <cellStyle name="Dane wejściowe 15" xfId="613" xr:uid="{00000000-0005-0000-0000-000096050000}"/>
    <cellStyle name="Dane wejściowe 15 2" xfId="3020" xr:uid="{00000000-0005-0000-0000-000097050000}"/>
    <cellStyle name="Dane wejściowe 15 3" xfId="4924" xr:uid="{00000000-0005-0000-0000-000098050000}"/>
    <cellStyle name="Dane wejściowe 16" xfId="614" xr:uid="{00000000-0005-0000-0000-000099050000}"/>
    <cellStyle name="Dane wejściowe 16 2" xfId="3021" xr:uid="{00000000-0005-0000-0000-00009A050000}"/>
    <cellStyle name="Dane wejściowe 16 3" xfId="4925" xr:uid="{00000000-0005-0000-0000-00009B050000}"/>
    <cellStyle name="Dane wejściowe 17" xfId="615" xr:uid="{00000000-0005-0000-0000-00009C050000}"/>
    <cellStyle name="Dane wejściowe 17 2" xfId="3022" xr:uid="{00000000-0005-0000-0000-00009D050000}"/>
    <cellStyle name="Dane wejściowe 17 3" xfId="4926" xr:uid="{00000000-0005-0000-0000-00009E050000}"/>
    <cellStyle name="Dane wejściowe 18" xfId="616" xr:uid="{00000000-0005-0000-0000-00009F050000}"/>
    <cellStyle name="Dane wejściowe 18 2" xfId="3023" xr:uid="{00000000-0005-0000-0000-0000A0050000}"/>
    <cellStyle name="Dane wejściowe 18 3" xfId="4927" xr:uid="{00000000-0005-0000-0000-0000A1050000}"/>
    <cellStyle name="Dane wejściowe 19" xfId="617" xr:uid="{00000000-0005-0000-0000-0000A2050000}"/>
    <cellStyle name="Dane wejściowe 19 2" xfId="3024" xr:uid="{00000000-0005-0000-0000-0000A3050000}"/>
    <cellStyle name="Dane wejściowe 19 3" xfId="4928" xr:uid="{00000000-0005-0000-0000-0000A4050000}"/>
    <cellStyle name="Dane wejściowe 2" xfId="618" xr:uid="{00000000-0005-0000-0000-0000A5050000}"/>
    <cellStyle name="Dane wejściowe 2 10" xfId="619" xr:uid="{00000000-0005-0000-0000-0000A6050000}"/>
    <cellStyle name="Dane wejściowe 2 10 2" xfId="3026" xr:uid="{00000000-0005-0000-0000-0000A7050000}"/>
    <cellStyle name="Dane wejściowe 2 10 3" xfId="4930" xr:uid="{00000000-0005-0000-0000-0000A8050000}"/>
    <cellStyle name="Dane wejściowe 2 11" xfId="620" xr:uid="{00000000-0005-0000-0000-0000A9050000}"/>
    <cellStyle name="Dane wejściowe 2 11 2" xfId="3027" xr:uid="{00000000-0005-0000-0000-0000AA050000}"/>
    <cellStyle name="Dane wejściowe 2 11 3" xfId="4931" xr:uid="{00000000-0005-0000-0000-0000AB050000}"/>
    <cellStyle name="Dane wejściowe 2 12" xfId="621" xr:uid="{00000000-0005-0000-0000-0000AC050000}"/>
    <cellStyle name="Dane wejściowe 2 12 2" xfId="3028" xr:uid="{00000000-0005-0000-0000-0000AD050000}"/>
    <cellStyle name="Dane wejściowe 2 12 3" xfId="4932" xr:uid="{00000000-0005-0000-0000-0000AE050000}"/>
    <cellStyle name="Dane wejściowe 2 13" xfId="622" xr:uid="{00000000-0005-0000-0000-0000AF050000}"/>
    <cellStyle name="Dane wejściowe 2 13 2" xfId="3029" xr:uid="{00000000-0005-0000-0000-0000B0050000}"/>
    <cellStyle name="Dane wejściowe 2 13 3" xfId="4933" xr:uid="{00000000-0005-0000-0000-0000B1050000}"/>
    <cellStyle name="Dane wejściowe 2 14" xfId="623" xr:uid="{00000000-0005-0000-0000-0000B2050000}"/>
    <cellStyle name="Dane wejściowe 2 14 2" xfId="3030" xr:uid="{00000000-0005-0000-0000-0000B3050000}"/>
    <cellStyle name="Dane wejściowe 2 14 3" xfId="4934" xr:uid="{00000000-0005-0000-0000-0000B4050000}"/>
    <cellStyle name="Dane wejściowe 2 15" xfId="624" xr:uid="{00000000-0005-0000-0000-0000B5050000}"/>
    <cellStyle name="Dane wejściowe 2 15 2" xfId="3031" xr:uid="{00000000-0005-0000-0000-0000B6050000}"/>
    <cellStyle name="Dane wejściowe 2 15 3" xfId="4935" xr:uid="{00000000-0005-0000-0000-0000B7050000}"/>
    <cellStyle name="Dane wejściowe 2 16" xfId="625" xr:uid="{00000000-0005-0000-0000-0000B8050000}"/>
    <cellStyle name="Dane wejściowe 2 16 2" xfId="3032" xr:uid="{00000000-0005-0000-0000-0000B9050000}"/>
    <cellStyle name="Dane wejściowe 2 16 3" xfId="4936" xr:uid="{00000000-0005-0000-0000-0000BA050000}"/>
    <cellStyle name="Dane wejściowe 2 17" xfId="626" xr:uid="{00000000-0005-0000-0000-0000BB050000}"/>
    <cellStyle name="Dane wejściowe 2 17 2" xfId="3033" xr:uid="{00000000-0005-0000-0000-0000BC050000}"/>
    <cellStyle name="Dane wejściowe 2 17 3" xfId="4937" xr:uid="{00000000-0005-0000-0000-0000BD050000}"/>
    <cellStyle name="Dane wejściowe 2 18" xfId="627" xr:uid="{00000000-0005-0000-0000-0000BE050000}"/>
    <cellStyle name="Dane wejściowe 2 18 2" xfId="3034" xr:uid="{00000000-0005-0000-0000-0000BF050000}"/>
    <cellStyle name="Dane wejściowe 2 18 3" xfId="4938" xr:uid="{00000000-0005-0000-0000-0000C0050000}"/>
    <cellStyle name="Dane wejściowe 2 19" xfId="628" xr:uid="{00000000-0005-0000-0000-0000C1050000}"/>
    <cellStyle name="Dane wejściowe 2 19 2" xfId="3035" xr:uid="{00000000-0005-0000-0000-0000C2050000}"/>
    <cellStyle name="Dane wejściowe 2 19 3" xfId="4939" xr:uid="{00000000-0005-0000-0000-0000C3050000}"/>
    <cellStyle name="Dane wejściowe 2 2" xfId="629" xr:uid="{00000000-0005-0000-0000-0000C4050000}"/>
    <cellStyle name="Dane wejściowe 2 2 2" xfId="3036" xr:uid="{00000000-0005-0000-0000-0000C5050000}"/>
    <cellStyle name="Dane wejściowe 2 2 3" xfId="4940" xr:uid="{00000000-0005-0000-0000-0000C6050000}"/>
    <cellStyle name="Dane wejściowe 2 20" xfId="630" xr:uid="{00000000-0005-0000-0000-0000C7050000}"/>
    <cellStyle name="Dane wejściowe 2 20 2" xfId="3037" xr:uid="{00000000-0005-0000-0000-0000C8050000}"/>
    <cellStyle name="Dane wejściowe 2 20 3" xfId="4941" xr:uid="{00000000-0005-0000-0000-0000C9050000}"/>
    <cellStyle name="Dane wejściowe 2 21" xfId="631" xr:uid="{00000000-0005-0000-0000-0000CA050000}"/>
    <cellStyle name="Dane wejściowe 2 21 2" xfId="3038" xr:uid="{00000000-0005-0000-0000-0000CB050000}"/>
    <cellStyle name="Dane wejściowe 2 21 3" xfId="4942" xr:uid="{00000000-0005-0000-0000-0000CC050000}"/>
    <cellStyle name="Dane wejściowe 2 22" xfId="632" xr:uid="{00000000-0005-0000-0000-0000CD050000}"/>
    <cellStyle name="Dane wejściowe 2 22 2" xfId="3039" xr:uid="{00000000-0005-0000-0000-0000CE050000}"/>
    <cellStyle name="Dane wejściowe 2 22 3" xfId="4943" xr:uid="{00000000-0005-0000-0000-0000CF050000}"/>
    <cellStyle name="Dane wejściowe 2 23" xfId="633" xr:uid="{00000000-0005-0000-0000-0000D0050000}"/>
    <cellStyle name="Dane wejściowe 2 23 2" xfId="3040" xr:uid="{00000000-0005-0000-0000-0000D1050000}"/>
    <cellStyle name="Dane wejściowe 2 23 3" xfId="4944" xr:uid="{00000000-0005-0000-0000-0000D2050000}"/>
    <cellStyle name="Dane wejściowe 2 24" xfId="3025" xr:uid="{00000000-0005-0000-0000-0000D3050000}"/>
    <cellStyle name="Dane wejściowe 2 25" xfId="4929" xr:uid="{00000000-0005-0000-0000-0000D4050000}"/>
    <cellStyle name="Dane wejściowe 2 3" xfId="634" xr:uid="{00000000-0005-0000-0000-0000D5050000}"/>
    <cellStyle name="Dane wejściowe 2 3 2" xfId="3041" xr:uid="{00000000-0005-0000-0000-0000D6050000}"/>
    <cellStyle name="Dane wejściowe 2 3 3" xfId="4945" xr:uid="{00000000-0005-0000-0000-0000D7050000}"/>
    <cellStyle name="Dane wejściowe 2 4" xfId="635" xr:uid="{00000000-0005-0000-0000-0000D8050000}"/>
    <cellStyle name="Dane wejściowe 2 4 2" xfId="3042" xr:uid="{00000000-0005-0000-0000-0000D9050000}"/>
    <cellStyle name="Dane wejściowe 2 4 3" xfId="4946" xr:uid="{00000000-0005-0000-0000-0000DA050000}"/>
    <cellStyle name="Dane wejściowe 2 5" xfId="636" xr:uid="{00000000-0005-0000-0000-0000DB050000}"/>
    <cellStyle name="Dane wejściowe 2 5 2" xfId="3043" xr:uid="{00000000-0005-0000-0000-0000DC050000}"/>
    <cellStyle name="Dane wejściowe 2 5 3" xfId="4947" xr:uid="{00000000-0005-0000-0000-0000DD050000}"/>
    <cellStyle name="Dane wejściowe 2 6" xfId="637" xr:uid="{00000000-0005-0000-0000-0000DE050000}"/>
    <cellStyle name="Dane wejściowe 2 6 2" xfId="3044" xr:uid="{00000000-0005-0000-0000-0000DF050000}"/>
    <cellStyle name="Dane wejściowe 2 6 3" xfId="4948" xr:uid="{00000000-0005-0000-0000-0000E0050000}"/>
    <cellStyle name="Dane wejściowe 2 7" xfId="638" xr:uid="{00000000-0005-0000-0000-0000E1050000}"/>
    <cellStyle name="Dane wejściowe 2 7 2" xfId="3045" xr:uid="{00000000-0005-0000-0000-0000E2050000}"/>
    <cellStyle name="Dane wejściowe 2 7 3" xfId="4949" xr:uid="{00000000-0005-0000-0000-0000E3050000}"/>
    <cellStyle name="Dane wejściowe 2 8" xfId="639" xr:uid="{00000000-0005-0000-0000-0000E4050000}"/>
    <cellStyle name="Dane wejściowe 2 8 2" xfId="3046" xr:uid="{00000000-0005-0000-0000-0000E5050000}"/>
    <cellStyle name="Dane wejściowe 2 8 3" xfId="4950" xr:uid="{00000000-0005-0000-0000-0000E6050000}"/>
    <cellStyle name="Dane wejściowe 2 9" xfId="640" xr:uid="{00000000-0005-0000-0000-0000E7050000}"/>
    <cellStyle name="Dane wejściowe 2 9 2" xfId="3047" xr:uid="{00000000-0005-0000-0000-0000E8050000}"/>
    <cellStyle name="Dane wejściowe 2 9 3" xfId="4951" xr:uid="{00000000-0005-0000-0000-0000E9050000}"/>
    <cellStyle name="Dane wejściowe 20" xfId="641" xr:uid="{00000000-0005-0000-0000-0000EA050000}"/>
    <cellStyle name="Dane wejściowe 20 2" xfId="3048" xr:uid="{00000000-0005-0000-0000-0000EB050000}"/>
    <cellStyle name="Dane wejściowe 20 3" xfId="4952" xr:uid="{00000000-0005-0000-0000-0000EC050000}"/>
    <cellStyle name="Dane wejściowe 21" xfId="642" xr:uid="{00000000-0005-0000-0000-0000ED050000}"/>
    <cellStyle name="Dane wejściowe 21 2" xfId="3049" xr:uid="{00000000-0005-0000-0000-0000EE050000}"/>
    <cellStyle name="Dane wejściowe 21 3" xfId="4953" xr:uid="{00000000-0005-0000-0000-0000EF050000}"/>
    <cellStyle name="Dane wejściowe 22" xfId="643" xr:uid="{00000000-0005-0000-0000-0000F0050000}"/>
    <cellStyle name="Dane wejściowe 22 2" xfId="3050" xr:uid="{00000000-0005-0000-0000-0000F1050000}"/>
    <cellStyle name="Dane wejściowe 22 3" xfId="4954" xr:uid="{00000000-0005-0000-0000-0000F2050000}"/>
    <cellStyle name="Dane wejściowe 23" xfId="644" xr:uid="{00000000-0005-0000-0000-0000F3050000}"/>
    <cellStyle name="Dane wejściowe 23 2" xfId="3051" xr:uid="{00000000-0005-0000-0000-0000F4050000}"/>
    <cellStyle name="Dane wejściowe 23 3" xfId="4955" xr:uid="{00000000-0005-0000-0000-0000F5050000}"/>
    <cellStyle name="Dane wejściowe 24" xfId="645" xr:uid="{00000000-0005-0000-0000-0000F6050000}"/>
    <cellStyle name="Dane wejściowe 24 2" xfId="3052" xr:uid="{00000000-0005-0000-0000-0000F7050000}"/>
    <cellStyle name="Dane wejściowe 24 3" xfId="4956" xr:uid="{00000000-0005-0000-0000-0000F8050000}"/>
    <cellStyle name="Dane wejściowe 25" xfId="646" xr:uid="{00000000-0005-0000-0000-0000F9050000}"/>
    <cellStyle name="Dane wejściowe 25 2" xfId="3053" xr:uid="{00000000-0005-0000-0000-0000FA050000}"/>
    <cellStyle name="Dane wejściowe 25 3" xfId="4957" xr:uid="{00000000-0005-0000-0000-0000FB050000}"/>
    <cellStyle name="Dane wejściowe 26" xfId="3014" xr:uid="{00000000-0005-0000-0000-0000FC050000}"/>
    <cellStyle name="Dane wejściowe 27" xfId="4918" xr:uid="{00000000-0005-0000-0000-0000FD050000}"/>
    <cellStyle name="Dane wejściowe 3" xfId="647" xr:uid="{00000000-0005-0000-0000-0000FE050000}"/>
    <cellStyle name="Dane wejściowe 3 10" xfId="648" xr:uid="{00000000-0005-0000-0000-0000FF050000}"/>
    <cellStyle name="Dane wejściowe 3 10 2" xfId="3055" xr:uid="{00000000-0005-0000-0000-000000060000}"/>
    <cellStyle name="Dane wejściowe 3 10 3" xfId="4959" xr:uid="{00000000-0005-0000-0000-000001060000}"/>
    <cellStyle name="Dane wejściowe 3 11" xfId="649" xr:uid="{00000000-0005-0000-0000-000002060000}"/>
    <cellStyle name="Dane wejściowe 3 11 2" xfId="3056" xr:uid="{00000000-0005-0000-0000-000003060000}"/>
    <cellStyle name="Dane wejściowe 3 11 3" xfId="4960" xr:uid="{00000000-0005-0000-0000-000004060000}"/>
    <cellStyle name="Dane wejściowe 3 12" xfId="650" xr:uid="{00000000-0005-0000-0000-000005060000}"/>
    <cellStyle name="Dane wejściowe 3 12 2" xfId="3057" xr:uid="{00000000-0005-0000-0000-000006060000}"/>
    <cellStyle name="Dane wejściowe 3 12 3" xfId="4961" xr:uid="{00000000-0005-0000-0000-000007060000}"/>
    <cellStyle name="Dane wejściowe 3 13" xfId="651" xr:uid="{00000000-0005-0000-0000-000008060000}"/>
    <cellStyle name="Dane wejściowe 3 13 2" xfId="3058" xr:uid="{00000000-0005-0000-0000-000009060000}"/>
    <cellStyle name="Dane wejściowe 3 13 3" xfId="4962" xr:uid="{00000000-0005-0000-0000-00000A060000}"/>
    <cellStyle name="Dane wejściowe 3 14" xfId="652" xr:uid="{00000000-0005-0000-0000-00000B060000}"/>
    <cellStyle name="Dane wejściowe 3 14 2" xfId="3059" xr:uid="{00000000-0005-0000-0000-00000C060000}"/>
    <cellStyle name="Dane wejściowe 3 14 3" xfId="4963" xr:uid="{00000000-0005-0000-0000-00000D060000}"/>
    <cellStyle name="Dane wejściowe 3 15" xfId="653" xr:uid="{00000000-0005-0000-0000-00000E060000}"/>
    <cellStyle name="Dane wejściowe 3 15 2" xfId="3060" xr:uid="{00000000-0005-0000-0000-00000F060000}"/>
    <cellStyle name="Dane wejściowe 3 15 3" xfId="4964" xr:uid="{00000000-0005-0000-0000-000010060000}"/>
    <cellStyle name="Dane wejściowe 3 16" xfId="654" xr:uid="{00000000-0005-0000-0000-000011060000}"/>
    <cellStyle name="Dane wejściowe 3 16 2" xfId="3061" xr:uid="{00000000-0005-0000-0000-000012060000}"/>
    <cellStyle name="Dane wejściowe 3 16 3" xfId="4965" xr:uid="{00000000-0005-0000-0000-000013060000}"/>
    <cellStyle name="Dane wejściowe 3 17" xfId="655" xr:uid="{00000000-0005-0000-0000-000014060000}"/>
    <cellStyle name="Dane wejściowe 3 17 2" xfId="3062" xr:uid="{00000000-0005-0000-0000-000015060000}"/>
    <cellStyle name="Dane wejściowe 3 17 3" xfId="4966" xr:uid="{00000000-0005-0000-0000-000016060000}"/>
    <cellStyle name="Dane wejściowe 3 18" xfId="656" xr:uid="{00000000-0005-0000-0000-000017060000}"/>
    <cellStyle name="Dane wejściowe 3 18 2" xfId="3063" xr:uid="{00000000-0005-0000-0000-000018060000}"/>
    <cellStyle name="Dane wejściowe 3 18 3" xfId="4967" xr:uid="{00000000-0005-0000-0000-000019060000}"/>
    <cellStyle name="Dane wejściowe 3 19" xfId="657" xr:uid="{00000000-0005-0000-0000-00001A060000}"/>
    <cellStyle name="Dane wejściowe 3 19 2" xfId="3064" xr:uid="{00000000-0005-0000-0000-00001B060000}"/>
    <cellStyle name="Dane wejściowe 3 19 3" xfId="4968" xr:uid="{00000000-0005-0000-0000-00001C060000}"/>
    <cellStyle name="Dane wejściowe 3 2" xfId="658" xr:uid="{00000000-0005-0000-0000-00001D060000}"/>
    <cellStyle name="Dane wejściowe 3 2 2" xfId="3065" xr:uid="{00000000-0005-0000-0000-00001E060000}"/>
    <cellStyle name="Dane wejściowe 3 2 3" xfId="4969" xr:uid="{00000000-0005-0000-0000-00001F060000}"/>
    <cellStyle name="Dane wejściowe 3 20" xfId="659" xr:uid="{00000000-0005-0000-0000-000020060000}"/>
    <cellStyle name="Dane wejściowe 3 20 2" xfId="3066" xr:uid="{00000000-0005-0000-0000-000021060000}"/>
    <cellStyle name="Dane wejściowe 3 20 3" xfId="4970" xr:uid="{00000000-0005-0000-0000-000022060000}"/>
    <cellStyle name="Dane wejściowe 3 21" xfId="660" xr:uid="{00000000-0005-0000-0000-000023060000}"/>
    <cellStyle name="Dane wejściowe 3 21 2" xfId="3067" xr:uid="{00000000-0005-0000-0000-000024060000}"/>
    <cellStyle name="Dane wejściowe 3 21 3" xfId="4971" xr:uid="{00000000-0005-0000-0000-000025060000}"/>
    <cellStyle name="Dane wejściowe 3 22" xfId="661" xr:uid="{00000000-0005-0000-0000-000026060000}"/>
    <cellStyle name="Dane wejściowe 3 22 2" xfId="3068" xr:uid="{00000000-0005-0000-0000-000027060000}"/>
    <cellStyle name="Dane wejściowe 3 22 3" xfId="4972" xr:uid="{00000000-0005-0000-0000-000028060000}"/>
    <cellStyle name="Dane wejściowe 3 23" xfId="662" xr:uid="{00000000-0005-0000-0000-000029060000}"/>
    <cellStyle name="Dane wejściowe 3 23 2" xfId="3069" xr:uid="{00000000-0005-0000-0000-00002A060000}"/>
    <cellStyle name="Dane wejściowe 3 23 3" xfId="4973" xr:uid="{00000000-0005-0000-0000-00002B060000}"/>
    <cellStyle name="Dane wejściowe 3 24" xfId="3054" xr:uid="{00000000-0005-0000-0000-00002C060000}"/>
    <cellStyle name="Dane wejściowe 3 25" xfId="4958" xr:uid="{00000000-0005-0000-0000-00002D060000}"/>
    <cellStyle name="Dane wejściowe 3 3" xfId="663" xr:uid="{00000000-0005-0000-0000-00002E060000}"/>
    <cellStyle name="Dane wejściowe 3 3 2" xfId="3070" xr:uid="{00000000-0005-0000-0000-00002F060000}"/>
    <cellStyle name="Dane wejściowe 3 3 3" xfId="4974" xr:uid="{00000000-0005-0000-0000-000030060000}"/>
    <cellStyle name="Dane wejściowe 3 4" xfId="664" xr:uid="{00000000-0005-0000-0000-000031060000}"/>
    <cellStyle name="Dane wejściowe 3 4 2" xfId="3071" xr:uid="{00000000-0005-0000-0000-000032060000}"/>
    <cellStyle name="Dane wejściowe 3 4 3" xfId="4975" xr:uid="{00000000-0005-0000-0000-000033060000}"/>
    <cellStyle name="Dane wejściowe 3 5" xfId="665" xr:uid="{00000000-0005-0000-0000-000034060000}"/>
    <cellStyle name="Dane wejściowe 3 5 2" xfId="3072" xr:uid="{00000000-0005-0000-0000-000035060000}"/>
    <cellStyle name="Dane wejściowe 3 5 3" xfId="4976" xr:uid="{00000000-0005-0000-0000-000036060000}"/>
    <cellStyle name="Dane wejściowe 3 6" xfId="666" xr:uid="{00000000-0005-0000-0000-000037060000}"/>
    <cellStyle name="Dane wejściowe 3 6 2" xfId="3073" xr:uid="{00000000-0005-0000-0000-000038060000}"/>
    <cellStyle name="Dane wejściowe 3 6 3" xfId="4977" xr:uid="{00000000-0005-0000-0000-000039060000}"/>
    <cellStyle name="Dane wejściowe 3 7" xfId="667" xr:uid="{00000000-0005-0000-0000-00003A060000}"/>
    <cellStyle name="Dane wejściowe 3 7 2" xfId="3074" xr:uid="{00000000-0005-0000-0000-00003B060000}"/>
    <cellStyle name="Dane wejściowe 3 7 3" xfId="4978" xr:uid="{00000000-0005-0000-0000-00003C060000}"/>
    <cellStyle name="Dane wejściowe 3 8" xfId="668" xr:uid="{00000000-0005-0000-0000-00003D060000}"/>
    <cellStyle name="Dane wejściowe 3 8 2" xfId="3075" xr:uid="{00000000-0005-0000-0000-00003E060000}"/>
    <cellStyle name="Dane wejściowe 3 8 3" xfId="4979" xr:uid="{00000000-0005-0000-0000-00003F060000}"/>
    <cellStyle name="Dane wejściowe 3 9" xfId="669" xr:uid="{00000000-0005-0000-0000-000040060000}"/>
    <cellStyle name="Dane wejściowe 3 9 2" xfId="3076" xr:uid="{00000000-0005-0000-0000-000041060000}"/>
    <cellStyle name="Dane wejściowe 3 9 3" xfId="4980" xr:uid="{00000000-0005-0000-0000-000042060000}"/>
    <cellStyle name="Dane wejściowe 4" xfId="670" xr:uid="{00000000-0005-0000-0000-000043060000}"/>
    <cellStyle name="Dane wejściowe 4 2" xfId="3077" xr:uid="{00000000-0005-0000-0000-000044060000}"/>
    <cellStyle name="Dane wejściowe 4 3" xfId="4981" xr:uid="{00000000-0005-0000-0000-000045060000}"/>
    <cellStyle name="Dane wejściowe 5" xfId="671" xr:uid="{00000000-0005-0000-0000-000046060000}"/>
    <cellStyle name="Dane wejściowe 5 2" xfId="3078" xr:uid="{00000000-0005-0000-0000-000047060000}"/>
    <cellStyle name="Dane wejściowe 5 3" xfId="4982" xr:uid="{00000000-0005-0000-0000-000048060000}"/>
    <cellStyle name="Dane wejściowe 6" xfId="672" xr:uid="{00000000-0005-0000-0000-000049060000}"/>
    <cellStyle name="Dane wejściowe 6 2" xfId="3079" xr:uid="{00000000-0005-0000-0000-00004A060000}"/>
    <cellStyle name="Dane wejściowe 6 3" xfId="4983" xr:uid="{00000000-0005-0000-0000-00004B060000}"/>
    <cellStyle name="Dane wejściowe 7" xfId="673" xr:uid="{00000000-0005-0000-0000-00004C060000}"/>
    <cellStyle name="Dane wejściowe 7 2" xfId="3080" xr:uid="{00000000-0005-0000-0000-00004D060000}"/>
    <cellStyle name="Dane wejściowe 7 3" xfId="4984" xr:uid="{00000000-0005-0000-0000-00004E060000}"/>
    <cellStyle name="Dane wejściowe 8" xfId="674" xr:uid="{00000000-0005-0000-0000-00004F060000}"/>
    <cellStyle name="Dane wejściowe 8 2" xfId="3081" xr:uid="{00000000-0005-0000-0000-000050060000}"/>
    <cellStyle name="Dane wejściowe 8 3" xfId="4985" xr:uid="{00000000-0005-0000-0000-000051060000}"/>
    <cellStyle name="Dane wejściowe 9" xfId="675" xr:uid="{00000000-0005-0000-0000-000052060000}"/>
    <cellStyle name="Dane wejściowe 9 2" xfId="3082" xr:uid="{00000000-0005-0000-0000-000053060000}"/>
    <cellStyle name="Dane wejściowe 9 3" xfId="4986" xr:uid="{00000000-0005-0000-0000-000054060000}"/>
    <cellStyle name="Dane wyjściowe" xfId="676" xr:uid="{00000000-0005-0000-0000-000055060000}"/>
    <cellStyle name="Dane wyjściowe 10" xfId="677" xr:uid="{00000000-0005-0000-0000-000056060000}"/>
    <cellStyle name="Dane wyjściowe 10 2" xfId="3084" xr:uid="{00000000-0005-0000-0000-000057060000}"/>
    <cellStyle name="Dane wyjściowe 10 3" xfId="4988" xr:uid="{00000000-0005-0000-0000-000058060000}"/>
    <cellStyle name="Dane wyjściowe 11" xfId="678" xr:uid="{00000000-0005-0000-0000-000059060000}"/>
    <cellStyle name="Dane wyjściowe 11 2" xfId="3085" xr:uid="{00000000-0005-0000-0000-00005A060000}"/>
    <cellStyle name="Dane wyjściowe 11 3" xfId="4989" xr:uid="{00000000-0005-0000-0000-00005B060000}"/>
    <cellStyle name="Dane wyjściowe 12" xfId="679" xr:uid="{00000000-0005-0000-0000-00005C060000}"/>
    <cellStyle name="Dane wyjściowe 12 2" xfId="3086" xr:uid="{00000000-0005-0000-0000-00005D060000}"/>
    <cellStyle name="Dane wyjściowe 12 3" xfId="4990" xr:uid="{00000000-0005-0000-0000-00005E060000}"/>
    <cellStyle name="Dane wyjściowe 13" xfId="680" xr:uid="{00000000-0005-0000-0000-00005F060000}"/>
    <cellStyle name="Dane wyjściowe 13 2" xfId="3087" xr:uid="{00000000-0005-0000-0000-000060060000}"/>
    <cellStyle name="Dane wyjściowe 13 3" xfId="4991" xr:uid="{00000000-0005-0000-0000-000061060000}"/>
    <cellStyle name="Dane wyjściowe 14" xfId="681" xr:uid="{00000000-0005-0000-0000-000062060000}"/>
    <cellStyle name="Dane wyjściowe 14 2" xfId="3088" xr:uid="{00000000-0005-0000-0000-000063060000}"/>
    <cellStyle name="Dane wyjściowe 14 3" xfId="4992" xr:uid="{00000000-0005-0000-0000-000064060000}"/>
    <cellStyle name="Dane wyjściowe 15" xfId="682" xr:uid="{00000000-0005-0000-0000-000065060000}"/>
    <cellStyle name="Dane wyjściowe 15 2" xfId="3089" xr:uid="{00000000-0005-0000-0000-000066060000}"/>
    <cellStyle name="Dane wyjściowe 15 3" xfId="4993" xr:uid="{00000000-0005-0000-0000-000067060000}"/>
    <cellStyle name="Dane wyjściowe 16" xfId="683" xr:uid="{00000000-0005-0000-0000-000068060000}"/>
    <cellStyle name="Dane wyjściowe 16 2" xfId="3090" xr:uid="{00000000-0005-0000-0000-000069060000}"/>
    <cellStyle name="Dane wyjściowe 16 3" xfId="4994" xr:uid="{00000000-0005-0000-0000-00006A060000}"/>
    <cellStyle name="Dane wyjściowe 17" xfId="684" xr:uid="{00000000-0005-0000-0000-00006B060000}"/>
    <cellStyle name="Dane wyjściowe 17 2" xfId="3091" xr:uid="{00000000-0005-0000-0000-00006C060000}"/>
    <cellStyle name="Dane wyjściowe 17 3" xfId="4995" xr:uid="{00000000-0005-0000-0000-00006D060000}"/>
    <cellStyle name="Dane wyjściowe 18" xfId="685" xr:uid="{00000000-0005-0000-0000-00006E060000}"/>
    <cellStyle name="Dane wyjściowe 18 2" xfId="3092" xr:uid="{00000000-0005-0000-0000-00006F060000}"/>
    <cellStyle name="Dane wyjściowe 18 3" xfId="4996" xr:uid="{00000000-0005-0000-0000-000070060000}"/>
    <cellStyle name="Dane wyjściowe 19" xfId="686" xr:uid="{00000000-0005-0000-0000-000071060000}"/>
    <cellStyle name="Dane wyjściowe 19 2" xfId="3093" xr:uid="{00000000-0005-0000-0000-000072060000}"/>
    <cellStyle name="Dane wyjściowe 19 3" xfId="4997" xr:uid="{00000000-0005-0000-0000-000073060000}"/>
    <cellStyle name="Dane wyjściowe 2" xfId="687" xr:uid="{00000000-0005-0000-0000-000074060000}"/>
    <cellStyle name="Dane wyjściowe 2 10" xfId="688" xr:uid="{00000000-0005-0000-0000-000075060000}"/>
    <cellStyle name="Dane wyjściowe 2 10 2" xfId="3095" xr:uid="{00000000-0005-0000-0000-000076060000}"/>
    <cellStyle name="Dane wyjściowe 2 10 3" xfId="4999" xr:uid="{00000000-0005-0000-0000-000077060000}"/>
    <cellStyle name="Dane wyjściowe 2 11" xfId="689" xr:uid="{00000000-0005-0000-0000-000078060000}"/>
    <cellStyle name="Dane wyjściowe 2 11 2" xfId="3096" xr:uid="{00000000-0005-0000-0000-000079060000}"/>
    <cellStyle name="Dane wyjściowe 2 11 3" xfId="5000" xr:uid="{00000000-0005-0000-0000-00007A060000}"/>
    <cellStyle name="Dane wyjściowe 2 12" xfId="690" xr:uid="{00000000-0005-0000-0000-00007B060000}"/>
    <cellStyle name="Dane wyjściowe 2 12 2" xfId="3097" xr:uid="{00000000-0005-0000-0000-00007C060000}"/>
    <cellStyle name="Dane wyjściowe 2 12 3" xfId="5001" xr:uid="{00000000-0005-0000-0000-00007D060000}"/>
    <cellStyle name="Dane wyjściowe 2 13" xfId="691" xr:uid="{00000000-0005-0000-0000-00007E060000}"/>
    <cellStyle name="Dane wyjściowe 2 13 2" xfId="3098" xr:uid="{00000000-0005-0000-0000-00007F060000}"/>
    <cellStyle name="Dane wyjściowe 2 13 3" xfId="5002" xr:uid="{00000000-0005-0000-0000-000080060000}"/>
    <cellStyle name="Dane wyjściowe 2 14" xfId="692" xr:uid="{00000000-0005-0000-0000-000081060000}"/>
    <cellStyle name="Dane wyjściowe 2 14 2" xfId="3099" xr:uid="{00000000-0005-0000-0000-000082060000}"/>
    <cellStyle name="Dane wyjściowe 2 14 3" xfId="5003" xr:uid="{00000000-0005-0000-0000-000083060000}"/>
    <cellStyle name="Dane wyjściowe 2 15" xfId="693" xr:uid="{00000000-0005-0000-0000-000084060000}"/>
    <cellStyle name="Dane wyjściowe 2 15 2" xfId="3100" xr:uid="{00000000-0005-0000-0000-000085060000}"/>
    <cellStyle name="Dane wyjściowe 2 15 3" xfId="5004" xr:uid="{00000000-0005-0000-0000-000086060000}"/>
    <cellStyle name="Dane wyjściowe 2 16" xfId="694" xr:uid="{00000000-0005-0000-0000-000087060000}"/>
    <cellStyle name="Dane wyjściowe 2 16 2" xfId="3101" xr:uid="{00000000-0005-0000-0000-000088060000}"/>
    <cellStyle name="Dane wyjściowe 2 16 3" xfId="5005" xr:uid="{00000000-0005-0000-0000-000089060000}"/>
    <cellStyle name="Dane wyjściowe 2 17" xfId="695" xr:uid="{00000000-0005-0000-0000-00008A060000}"/>
    <cellStyle name="Dane wyjściowe 2 17 2" xfId="3102" xr:uid="{00000000-0005-0000-0000-00008B060000}"/>
    <cellStyle name="Dane wyjściowe 2 17 3" xfId="5006" xr:uid="{00000000-0005-0000-0000-00008C060000}"/>
    <cellStyle name="Dane wyjściowe 2 18" xfId="696" xr:uid="{00000000-0005-0000-0000-00008D060000}"/>
    <cellStyle name="Dane wyjściowe 2 18 2" xfId="3103" xr:uid="{00000000-0005-0000-0000-00008E060000}"/>
    <cellStyle name="Dane wyjściowe 2 18 3" xfId="5007" xr:uid="{00000000-0005-0000-0000-00008F060000}"/>
    <cellStyle name="Dane wyjściowe 2 19" xfId="697" xr:uid="{00000000-0005-0000-0000-000090060000}"/>
    <cellStyle name="Dane wyjściowe 2 19 2" xfId="3104" xr:uid="{00000000-0005-0000-0000-000091060000}"/>
    <cellStyle name="Dane wyjściowe 2 19 3" xfId="5008" xr:uid="{00000000-0005-0000-0000-000092060000}"/>
    <cellStyle name="Dane wyjściowe 2 2" xfId="698" xr:uid="{00000000-0005-0000-0000-000093060000}"/>
    <cellStyle name="Dane wyjściowe 2 2 2" xfId="3105" xr:uid="{00000000-0005-0000-0000-000094060000}"/>
    <cellStyle name="Dane wyjściowe 2 2 3" xfId="5009" xr:uid="{00000000-0005-0000-0000-000095060000}"/>
    <cellStyle name="Dane wyjściowe 2 20" xfId="699" xr:uid="{00000000-0005-0000-0000-000096060000}"/>
    <cellStyle name="Dane wyjściowe 2 20 2" xfId="3106" xr:uid="{00000000-0005-0000-0000-000097060000}"/>
    <cellStyle name="Dane wyjściowe 2 20 3" xfId="5010" xr:uid="{00000000-0005-0000-0000-000098060000}"/>
    <cellStyle name="Dane wyjściowe 2 21" xfId="700" xr:uid="{00000000-0005-0000-0000-000099060000}"/>
    <cellStyle name="Dane wyjściowe 2 21 2" xfId="3107" xr:uid="{00000000-0005-0000-0000-00009A060000}"/>
    <cellStyle name="Dane wyjściowe 2 21 3" xfId="5011" xr:uid="{00000000-0005-0000-0000-00009B060000}"/>
    <cellStyle name="Dane wyjściowe 2 22" xfId="701" xr:uid="{00000000-0005-0000-0000-00009C060000}"/>
    <cellStyle name="Dane wyjściowe 2 22 2" xfId="3108" xr:uid="{00000000-0005-0000-0000-00009D060000}"/>
    <cellStyle name="Dane wyjściowe 2 22 3" xfId="5012" xr:uid="{00000000-0005-0000-0000-00009E060000}"/>
    <cellStyle name="Dane wyjściowe 2 23" xfId="702" xr:uid="{00000000-0005-0000-0000-00009F060000}"/>
    <cellStyle name="Dane wyjściowe 2 23 2" xfId="3109" xr:uid="{00000000-0005-0000-0000-0000A0060000}"/>
    <cellStyle name="Dane wyjściowe 2 23 3" xfId="5013" xr:uid="{00000000-0005-0000-0000-0000A1060000}"/>
    <cellStyle name="Dane wyjściowe 2 24" xfId="3094" xr:uid="{00000000-0005-0000-0000-0000A2060000}"/>
    <cellStyle name="Dane wyjściowe 2 25" xfId="4998" xr:uid="{00000000-0005-0000-0000-0000A3060000}"/>
    <cellStyle name="Dane wyjściowe 2 3" xfId="703" xr:uid="{00000000-0005-0000-0000-0000A4060000}"/>
    <cellStyle name="Dane wyjściowe 2 3 2" xfId="3110" xr:uid="{00000000-0005-0000-0000-0000A5060000}"/>
    <cellStyle name="Dane wyjściowe 2 3 3" xfId="5014" xr:uid="{00000000-0005-0000-0000-0000A6060000}"/>
    <cellStyle name="Dane wyjściowe 2 4" xfId="704" xr:uid="{00000000-0005-0000-0000-0000A7060000}"/>
    <cellStyle name="Dane wyjściowe 2 4 2" xfId="3111" xr:uid="{00000000-0005-0000-0000-0000A8060000}"/>
    <cellStyle name="Dane wyjściowe 2 4 3" xfId="5015" xr:uid="{00000000-0005-0000-0000-0000A9060000}"/>
    <cellStyle name="Dane wyjściowe 2 5" xfId="705" xr:uid="{00000000-0005-0000-0000-0000AA060000}"/>
    <cellStyle name="Dane wyjściowe 2 5 2" xfId="3112" xr:uid="{00000000-0005-0000-0000-0000AB060000}"/>
    <cellStyle name="Dane wyjściowe 2 5 3" xfId="5016" xr:uid="{00000000-0005-0000-0000-0000AC060000}"/>
    <cellStyle name="Dane wyjściowe 2 6" xfId="706" xr:uid="{00000000-0005-0000-0000-0000AD060000}"/>
    <cellStyle name="Dane wyjściowe 2 6 2" xfId="3113" xr:uid="{00000000-0005-0000-0000-0000AE060000}"/>
    <cellStyle name="Dane wyjściowe 2 6 3" xfId="5017" xr:uid="{00000000-0005-0000-0000-0000AF060000}"/>
    <cellStyle name="Dane wyjściowe 2 7" xfId="707" xr:uid="{00000000-0005-0000-0000-0000B0060000}"/>
    <cellStyle name="Dane wyjściowe 2 7 2" xfId="3114" xr:uid="{00000000-0005-0000-0000-0000B1060000}"/>
    <cellStyle name="Dane wyjściowe 2 7 3" xfId="5018" xr:uid="{00000000-0005-0000-0000-0000B2060000}"/>
    <cellStyle name="Dane wyjściowe 2 8" xfId="708" xr:uid="{00000000-0005-0000-0000-0000B3060000}"/>
    <cellStyle name="Dane wyjściowe 2 8 2" xfId="3115" xr:uid="{00000000-0005-0000-0000-0000B4060000}"/>
    <cellStyle name="Dane wyjściowe 2 8 3" xfId="5019" xr:uid="{00000000-0005-0000-0000-0000B5060000}"/>
    <cellStyle name="Dane wyjściowe 2 9" xfId="709" xr:uid="{00000000-0005-0000-0000-0000B6060000}"/>
    <cellStyle name="Dane wyjściowe 2 9 2" xfId="3116" xr:uid="{00000000-0005-0000-0000-0000B7060000}"/>
    <cellStyle name="Dane wyjściowe 2 9 3" xfId="5020" xr:uid="{00000000-0005-0000-0000-0000B8060000}"/>
    <cellStyle name="Dane wyjściowe 20" xfId="710" xr:uid="{00000000-0005-0000-0000-0000B9060000}"/>
    <cellStyle name="Dane wyjściowe 20 2" xfId="3117" xr:uid="{00000000-0005-0000-0000-0000BA060000}"/>
    <cellStyle name="Dane wyjściowe 20 3" xfId="5021" xr:uid="{00000000-0005-0000-0000-0000BB060000}"/>
    <cellStyle name="Dane wyjściowe 21" xfId="711" xr:uid="{00000000-0005-0000-0000-0000BC060000}"/>
    <cellStyle name="Dane wyjściowe 21 2" xfId="3118" xr:uid="{00000000-0005-0000-0000-0000BD060000}"/>
    <cellStyle name="Dane wyjściowe 21 3" xfId="5022" xr:uid="{00000000-0005-0000-0000-0000BE060000}"/>
    <cellStyle name="Dane wyjściowe 22" xfId="712" xr:uid="{00000000-0005-0000-0000-0000BF060000}"/>
    <cellStyle name="Dane wyjściowe 22 2" xfId="3119" xr:uid="{00000000-0005-0000-0000-0000C0060000}"/>
    <cellStyle name="Dane wyjściowe 22 3" xfId="5023" xr:uid="{00000000-0005-0000-0000-0000C1060000}"/>
    <cellStyle name="Dane wyjściowe 23" xfId="713" xr:uid="{00000000-0005-0000-0000-0000C2060000}"/>
    <cellStyle name="Dane wyjściowe 23 2" xfId="3120" xr:uid="{00000000-0005-0000-0000-0000C3060000}"/>
    <cellStyle name="Dane wyjściowe 23 3" xfId="5024" xr:uid="{00000000-0005-0000-0000-0000C4060000}"/>
    <cellStyle name="Dane wyjściowe 24" xfId="714" xr:uid="{00000000-0005-0000-0000-0000C5060000}"/>
    <cellStyle name="Dane wyjściowe 24 2" xfId="3121" xr:uid="{00000000-0005-0000-0000-0000C6060000}"/>
    <cellStyle name="Dane wyjściowe 24 3" xfId="5025" xr:uid="{00000000-0005-0000-0000-0000C7060000}"/>
    <cellStyle name="Dane wyjściowe 25" xfId="715" xr:uid="{00000000-0005-0000-0000-0000C8060000}"/>
    <cellStyle name="Dane wyjściowe 25 2" xfId="3122" xr:uid="{00000000-0005-0000-0000-0000C9060000}"/>
    <cellStyle name="Dane wyjściowe 25 3" xfId="5026" xr:uid="{00000000-0005-0000-0000-0000CA060000}"/>
    <cellStyle name="Dane wyjściowe 26" xfId="3083" xr:uid="{00000000-0005-0000-0000-0000CB060000}"/>
    <cellStyle name="Dane wyjściowe 27" xfId="4987" xr:uid="{00000000-0005-0000-0000-0000CC060000}"/>
    <cellStyle name="Dane wyjściowe 3" xfId="716" xr:uid="{00000000-0005-0000-0000-0000CD060000}"/>
    <cellStyle name="Dane wyjściowe 3 10" xfId="717" xr:uid="{00000000-0005-0000-0000-0000CE060000}"/>
    <cellStyle name="Dane wyjściowe 3 10 2" xfId="3124" xr:uid="{00000000-0005-0000-0000-0000CF060000}"/>
    <cellStyle name="Dane wyjściowe 3 10 3" xfId="5028" xr:uid="{00000000-0005-0000-0000-0000D0060000}"/>
    <cellStyle name="Dane wyjściowe 3 11" xfId="718" xr:uid="{00000000-0005-0000-0000-0000D1060000}"/>
    <cellStyle name="Dane wyjściowe 3 11 2" xfId="3125" xr:uid="{00000000-0005-0000-0000-0000D2060000}"/>
    <cellStyle name="Dane wyjściowe 3 11 3" xfId="5029" xr:uid="{00000000-0005-0000-0000-0000D3060000}"/>
    <cellStyle name="Dane wyjściowe 3 12" xfId="719" xr:uid="{00000000-0005-0000-0000-0000D4060000}"/>
    <cellStyle name="Dane wyjściowe 3 12 2" xfId="3126" xr:uid="{00000000-0005-0000-0000-0000D5060000}"/>
    <cellStyle name="Dane wyjściowe 3 12 3" xfId="5030" xr:uid="{00000000-0005-0000-0000-0000D6060000}"/>
    <cellStyle name="Dane wyjściowe 3 13" xfId="720" xr:uid="{00000000-0005-0000-0000-0000D7060000}"/>
    <cellStyle name="Dane wyjściowe 3 13 2" xfId="3127" xr:uid="{00000000-0005-0000-0000-0000D8060000}"/>
    <cellStyle name="Dane wyjściowe 3 13 3" xfId="5031" xr:uid="{00000000-0005-0000-0000-0000D9060000}"/>
    <cellStyle name="Dane wyjściowe 3 14" xfId="721" xr:uid="{00000000-0005-0000-0000-0000DA060000}"/>
    <cellStyle name="Dane wyjściowe 3 14 2" xfId="3128" xr:uid="{00000000-0005-0000-0000-0000DB060000}"/>
    <cellStyle name="Dane wyjściowe 3 14 3" xfId="5032" xr:uid="{00000000-0005-0000-0000-0000DC060000}"/>
    <cellStyle name="Dane wyjściowe 3 15" xfId="722" xr:uid="{00000000-0005-0000-0000-0000DD060000}"/>
    <cellStyle name="Dane wyjściowe 3 15 2" xfId="3129" xr:uid="{00000000-0005-0000-0000-0000DE060000}"/>
    <cellStyle name="Dane wyjściowe 3 15 3" xfId="5033" xr:uid="{00000000-0005-0000-0000-0000DF060000}"/>
    <cellStyle name="Dane wyjściowe 3 16" xfId="723" xr:uid="{00000000-0005-0000-0000-0000E0060000}"/>
    <cellStyle name="Dane wyjściowe 3 16 2" xfId="3130" xr:uid="{00000000-0005-0000-0000-0000E1060000}"/>
    <cellStyle name="Dane wyjściowe 3 16 3" xfId="5034" xr:uid="{00000000-0005-0000-0000-0000E2060000}"/>
    <cellStyle name="Dane wyjściowe 3 17" xfId="724" xr:uid="{00000000-0005-0000-0000-0000E3060000}"/>
    <cellStyle name="Dane wyjściowe 3 17 2" xfId="3131" xr:uid="{00000000-0005-0000-0000-0000E4060000}"/>
    <cellStyle name="Dane wyjściowe 3 17 3" xfId="5035" xr:uid="{00000000-0005-0000-0000-0000E5060000}"/>
    <cellStyle name="Dane wyjściowe 3 18" xfId="725" xr:uid="{00000000-0005-0000-0000-0000E6060000}"/>
    <cellStyle name="Dane wyjściowe 3 18 2" xfId="3132" xr:uid="{00000000-0005-0000-0000-0000E7060000}"/>
    <cellStyle name="Dane wyjściowe 3 18 3" xfId="5036" xr:uid="{00000000-0005-0000-0000-0000E8060000}"/>
    <cellStyle name="Dane wyjściowe 3 19" xfId="726" xr:uid="{00000000-0005-0000-0000-0000E9060000}"/>
    <cellStyle name="Dane wyjściowe 3 19 2" xfId="3133" xr:uid="{00000000-0005-0000-0000-0000EA060000}"/>
    <cellStyle name="Dane wyjściowe 3 19 3" xfId="5037" xr:uid="{00000000-0005-0000-0000-0000EB060000}"/>
    <cellStyle name="Dane wyjściowe 3 2" xfId="727" xr:uid="{00000000-0005-0000-0000-0000EC060000}"/>
    <cellStyle name="Dane wyjściowe 3 2 2" xfId="3134" xr:uid="{00000000-0005-0000-0000-0000ED060000}"/>
    <cellStyle name="Dane wyjściowe 3 2 3" xfId="5038" xr:uid="{00000000-0005-0000-0000-0000EE060000}"/>
    <cellStyle name="Dane wyjściowe 3 20" xfId="728" xr:uid="{00000000-0005-0000-0000-0000EF060000}"/>
    <cellStyle name="Dane wyjściowe 3 20 2" xfId="3135" xr:uid="{00000000-0005-0000-0000-0000F0060000}"/>
    <cellStyle name="Dane wyjściowe 3 20 3" xfId="5039" xr:uid="{00000000-0005-0000-0000-0000F1060000}"/>
    <cellStyle name="Dane wyjściowe 3 21" xfId="729" xr:uid="{00000000-0005-0000-0000-0000F2060000}"/>
    <cellStyle name="Dane wyjściowe 3 21 2" xfId="3136" xr:uid="{00000000-0005-0000-0000-0000F3060000}"/>
    <cellStyle name="Dane wyjściowe 3 21 3" xfId="5040" xr:uid="{00000000-0005-0000-0000-0000F4060000}"/>
    <cellStyle name="Dane wyjściowe 3 22" xfId="730" xr:uid="{00000000-0005-0000-0000-0000F5060000}"/>
    <cellStyle name="Dane wyjściowe 3 22 2" xfId="3137" xr:uid="{00000000-0005-0000-0000-0000F6060000}"/>
    <cellStyle name="Dane wyjściowe 3 22 3" xfId="5041" xr:uid="{00000000-0005-0000-0000-0000F7060000}"/>
    <cellStyle name="Dane wyjściowe 3 23" xfId="731" xr:uid="{00000000-0005-0000-0000-0000F8060000}"/>
    <cellStyle name="Dane wyjściowe 3 23 2" xfId="3138" xr:uid="{00000000-0005-0000-0000-0000F9060000}"/>
    <cellStyle name="Dane wyjściowe 3 23 3" xfId="5042" xr:uid="{00000000-0005-0000-0000-0000FA060000}"/>
    <cellStyle name="Dane wyjściowe 3 24" xfId="3123" xr:uid="{00000000-0005-0000-0000-0000FB060000}"/>
    <cellStyle name="Dane wyjściowe 3 25" xfId="5027" xr:uid="{00000000-0005-0000-0000-0000FC060000}"/>
    <cellStyle name="Dane wyjściowe 3 3" xfId="732" xr:uid="{00000000-0005-0000-0000-0000FD060000}"/>
    <cellStyle name="Dane wyjściowe 3 3 2" xfId="3139" xr:uid="{00000000-0005-0000-0000-0000FE060000}"/>
    <cellStyle name="Dane wyjściowe 3 3 3" xfId="5043" xr:uid="{00000000-0005-0000-0000-0000FF060000}"/>
    <cellStyle name="Dane wyjściowe 3 4" xfId="733" xr:uid="{00000000-0005-0000-0000-000000070000}"/>
    <cellStyle name="Dane wyjściowe 3 4 2" xfId="3140" xr:uid="{00000000-0005-0000-0000-000001070000}"/>
    <cellStyle name="Dane wyjściowe 3 4 3" xfId="5044" xr:uid="{00000000-0005-0000-0000-000002070000}"/>
    <cellStyle name="Dane wyjściowe 3 5" xfId="734" xr:uid="{00000000-0005-0000-0000-000003070000}"/>
    <cellStyle name="Dane wyjściowe 3 5 2" xfId="3141" xr:uid="{00000000-0005-0000-0000-000004070000}"/>
    <cellStyle name="Dane wyjściowe 3 5 3" xfId="5045" xr:uid="{00000000-0005-0000-0000-000005070000}"/>
    <cellStyle name="Dane wyjściowe 3 6" xfId="735" xr:uid="{00000000-0005-0000-0000-000006070000}"/>
    <cellStyle name="Dane wyjściowe 3 6 2" xfId="3142" xr:uid="{00000000-0005-0000-0000-000007070000}"/>
    <cellStyle name="Dane wyjściowe 3 6 3" xfId="5046" xr:uid="{00000000-0005-0000-0000-000008070000}"/>
    <cellStyle name="Dane wyjściowe 3 7" xfId="736" xr:uid="{00000000-0005-0000-0000-000009070000}"/>
    <cellStyle name="Dane wyjściowe 3 7 2" xfId="3143" xr:uid="{00000000-0005-0000-0000-00000A070000}"/>
    <cellStyle name="Dane wyjściowe 3 7 3" xfId="5047" xr:uid="{00000000-0005-0000-0000-00000B070000}"/>
    <cellStyle name="Dane wyjściowe 3 8" xfId="737" xr:uid="{00000000-0005-0000-0000-00000C070000}"/>
    <cellStyle name="Dane wyjściowe 3 8 2" xfId="3144" xr:uid="{00000000-0005-0000-0000-00000D070000}"/>
    <cellStyle name="Dane wyjściowe 3 8 3" xfId="5048" xr:uid="{00000000-0005-0000-0000-00000E070000}"/>
    <cellStyle name="Dane wyjściowe 3 9" xfId="738" xr:uid="{00000000-0005-0000-0000-00000F070000}"/>
    <cellStyle name="Dane wyjściowe 3 9 2" xfId="3145" xr:uid="{00000000-0005-0000-0000-000010070000}"/>
    <cellStyle name="Dane wyjściowe 3 9 3" xfId="5049" xr:uid="{00000000-0005-0000-0000-000011070000}"/>
    <cellStyle name="Dane wyjściowe 4" xfId="739" xr:uid="{00000000-0005-0000-0000-000012070000}"/>
    <cellStyle name="Dane wyjściowe 4 2" xfId="3146" xr:uid="{00000000-0005-0000-0000-000013070000}"/>
    <cellStyle name="Dane wyjściowe 4 3" xfId="5050" xr:uid="{00000000-0005-0000-0000-000014070000}"/>
    <cellStyle name="Dane wyjściowe 5" xfId="740" xr:uid="{00000000-0005-0000-0000-000015070000}"/>
    <cellStyle name="Dane wyjściowe 5 2" xfId="3147" xr:uid="{00000000-0005-0000-0000-000016070000}"/>
    <cellStyle name="Dane wyjściowe 5 3" xfId="5051" xr:uid="{00000000-0005-0000-0000-000017070000}"/>
    <cellStyle name="Dane wyjściowe 6" xfId="741" xr:uid="{00000000-0005-0000-0000-000018070000}"/>
    <cellStyle name="Dane wyjściowe 6 2" xfId="3148" xr:uid="{00000000-0005-0000-0000-000019070000}"/>
    <cellStyle name="Dane wyjściowe 6 3" xfId="5052" xr:uid="{00000000-0005-0000-0000-00001A070000}"/>
    <cellStyle name="Dane wyjściowe 7" xfId="742" xr:uid="{00000000-0005-0000-0000-00001B070000}"/>
    <cellStyle name="Dane wyjściowe 7 2" xfId="3149" xr:uid="{00000000-0005-0000-0000-00001C070000}"/>
    <cellStyle name="Dane wyjściowe 7 3" xfId="5053" xr:uid="{00000000-0005-0000-0000-00001D070000}"/>
    <cellStyle name="Dane wyjściowe 8" xfId="743" xr:uid="{00000000-0005-0000-0000-00001E070000}"/>
    <cellStyle name="Dane wyjściowe 8 2" xfId="3150" xr:uid="{00000000-0005-0000-0000-00001F070000}"/>
    <cellStyle name="Dane wyjściowe 8 3" xfId="5054" xr:uid="{00000000-0005-0000-0000-000020070000}"/>
    <cellStyle name="Dane wyjściowe 9" xfId="744" xr:uid="{00000000-0005-0000-0000-000021070000}"/>
    <cellStyle name="Dane wyjściowe 9 2" xfId="3151" xr:uid="{00000000-0005-0000-0000-000022070000}"/>
    <cellStyle name="Dane wyjściowe 9 3" xfId="5055" xr:uid="{00000000-0005-0000-0000-000023070000}"/>
    <cellStyle name="Date" xfId="745" xr:uid="{00000000-0005-0000-0000-000024070000}"/>
    <cellStyle name="Dobre" xfId="746" xr:uid="{00000000-0005-0000-0000-000025070000}"/>
    <cellStyle name="Explanatory Text" xfId="33" builtinId="53" customBuiltin="1"/>
    <cellStyle name="Explanatory Text 2" xfId="747" xr:uid="{00000000-0005-0000-0000-000027070000}"/>
    <cellStyle name="Explanatory Text 3" xfId="4757" xr:uid="{00000000-0005-0000-0000-000028070000}"/>
    <cellStyle name="FirstTableHeader" xfId="81" xr:uid="{00000000-0005-0000-0000-000029070000}"/>
    <cellStyle name="Fixed" xfId="748" xr:uid="{00000000-0005-0000-0000-00002A070000}"/>
    <cellStyle name="Followed Hyperlink" xfId="2381" builtinId="9" hidden="1"/>
    <cellStyle name="Followed Hyperlink" xfId="2382" builtinId="9" hidden="1"/>
    <cellStyle name="Followed Hyperlink" xfId="2383" builtinId="9" hidden="1"/>
    <cellStyle name="Followed Hyperlink" xfId="2384" builtinId="9" hidden="1"/>
    <cellStyle name="Followed Hyperlink" xfId="2385" builtinId="9" hidden="1"/>
    <cellStyle name="Followed Hyperlink" xfId="2386" builtinId="9" hidden="1"/>
    <cellStyle name="Followed Hyperlink" xfId="2387" builtinId="9" hidden="1"/>
    <cellStyle name="Followed Hyperlink" xfId="2388" builtinId="9" hidden="1"/>
    <cellStyle name="Followed Hyperlink" xfId="2389" builtinId="9" hidden="1"/>
    <cellStyle name="Followed Hyperlink" xfId="2390" builtinId="9" hidden="1"/>
    <cellStyle name="Followed Hyperlink" xfId="2391" builtinId="9" hidden="1"/>
    <cellStyle name="Followed Hyperlink" xfId="2392" builtinId="9" hidden="1"/>
    <cellStyle name="Followed Hyperlink" xfId="2393" builtinId="9" hidden="1"/>
    <cellStyle name="Followed Hyperlink" xfId="2394" builtinId="9" hidden="1"/>
    <cellStyle name="Followed Hyperlink" xfId="2395" builtinId="9" hidden="1"/>
    <cellStyle name="Followed Hyperlink" xfId="2396" builtinId="9" hidden="1"/>
    <cellStyle name="Followed Hyperlink" xfId="2397" builtinId="9" hidden="1"/>
    <cellStyle name="Followed Hyperlink" xfId="2398" builtinId="9" hidden="1"/>
    <cellStyle name="Followed Hyperlink" xfId="2399" builtinId="9" hidden="1"/>
    <cellStyle name="Followed Hyperlink" xfId="2400" builtinId="9" hidden="1"/>
    <cellStyle name="Followed Hyperlink" xfId="2401" builtinId="9" hidden="1"/>
    <cellStyle name="Followed Hyperlink" xfId="2402" builtinId="9" hidden="1"/>
    <cellStyle name="Followed Hyperlink" xfId="2403" builtinId="9" hidden="1"/>
    <cellStyle name="Followed Hyperlink" xfId="2404" builtinId="9" hidden="1"/>
    <cellStyle name="Followed Hyperlink" xfId="2405" builtinId="9" hidden="1"/>
    <cellStyle name="Followed Hyperlink" xfId="2406" builtinId="9" hidden="1"/>
    <cellStyle name="Followed Hyperlink" xfId="2407" builtinId="9" hidden="1"/>
    <cellStyle name="Followed Hyperlink" xfId="2408" builtinId="9" hidden="1"/>
    <cellStyle name="Followed Hyperlink" xfId="2409" builtinId="9" hidden="1"/>
    <cellStyle name="Followed Hyperlink" xfId="2410" builtinId="9" hidden="1"/>
    <cellStyle name="Followed Hyperlink" xfId="2411" builtinId="9" hidden="1"/>
    <cellStyle name="Followed Hyperlink" xfId="2412" builtinId="9" hidden="1"/>
    <cellStyle name="Followed Hyperlink" xfId="2413" builtinId="9" hidden="1"/>
    <cellStyle name="Followed Hyperlink" xfId="2414" builtinId="9" hidden="1"/>
    <cellStyle name="Followed Hyperlink" xfId="2415" builtinId="9" hidden="1"/>
    <cellStyle name="Followed Hyperlink" xfId="2416" builtinId="9" hidden="1"/>
    <cellStyle name="Followed Hyperlink" xfId="2417" builtinId="9" hidden="1"/>
    <cellStyle name="Followed Hyperlink" xfId="2418" builtinId="9" hidden="1"/>
    <cellStyle name="Followed Hyperlink" xfId="2419" builtinId="9" hidden="1"/>
    <cellStyle name="Followed Hyperlink" xfId="2420" builtinId="9" hidden="1"/>
    <cellStyle name="Followed Hyperlink" xfId="2421" builtinId="9" hidden="1"/>
    <cellStyle name="Followed Hyperlink" xfId="2422" builtinId="9" hidden="1"/>
    <cellStyle name="Followed Hyperlink" xfId="2426" builtinId="9" hidden="1"/>
    <cellStyle name="Followed Hyperlink" xfId="2427" builtinId="9" hidden="1"/>
    <cellStyle name="Followed Hyperlink" xfId="2428" builtinId="9" hidden="1"/>
    <cellStyle name="Followed Hyperlink" xfId="2429" builtinId="9" hidden="1"/>
    <cellStyle name="Followed Hyperlink" xfId="2430" builtinId="9" hidden="1"/>
    <cellStyle name="Followed Hyperlink" xfId="2431" builtinId="9" hidden="1"/>
    <cellStyle name="Followed Hyperlink" xfId="2432" builtinId="9" hidden="1"/>
    <cellStyle name="Followed Hyperlink" xfId="2433" builtinId="9" hidden="1"/>
    <cellStyle name="Followed Hyperlink" xfId="2434" builtinId="9" hidden="1"/>
    <cellStyle name="Followed Hyperlink" xfId="2435" builtinId="9" hidden="1"/>
    <cellStyle name="Followed Hyperlink" xfId="2436" builtinId="9" hidden="1"/>
    <cellStyle name="Followed Hyperlink" xfId="2437" builtinId="9" hidden="1"/>
    <cellStyle name="Followed Hyperlink" xfId="2438" builtinId="9" hidden="1"/>
    <cellStyle name="Followed Hyperlink" xfId="2439" builtinId="9" hidden="1"/>
    <cellStyle name="Followed Hyperlink" xfId="2440" builtinId="9" hidden="1"/>
    <cellStyle name="Followed Hyperlink" xfId="2441" builtinId="9" hidden="1"/>
    <cellStyle name="Followed Hyperlink" xfId="2442" builtinId="9" hidden="1"/>
    <cellStyle name="Good" xfId="34" builtinId="26" customBuiltin="1"/>
    <cellStyle name="Good 2" xfId="749" xr:uid="{00000000-0005-0000-0000-000067070000}"/>
    <cellStyle name="Good 2 2" xfId="750" xr:uid="{00000000-0005-0000-0000-000068070000}"/>
    <cellStyle name="Good 3" xfId="4747" xr:uid="{00000000-0005-0000-0000-000069070000}"/>
    <cellStyle name="Heading 1" xfId="35" builtinId="16" customBuiltin="1"/>
    <cellStyle name="Heading 1 2" xfId="751" xr:uid="{00000000-0005-0000-0000-00006B070000}"/>
    <cellStyle name="Heading 1 2 2" xfId="752" xr:uid="{00000000-0005-0000-0000-00006C070000}"/>
    <cellStyle name="Heading 1 3" xfId="4743" xr:uid="{00000000-0005-0000-0000-00006D070000}"/>
    <cellStyle name="Heading 2" xfId="36" builtinId="17" customBuiltin="1"/>
    <cellStyle name="Heading 2 2" xfId="753" xr:uid="{00000000-0005-0000-0000-00006F070000}"/>
    <cellStyle name="Heading 2 2 2" xfId="754" xr:uid="{00000000-0005-0000-0000-000070070000}"/>
    <cellStyle name="Heading 2 3" xfId="4744" xr:uid="{00000000-0005-0000-0000-000071070000}"/>
    <cellStyle name="Heading 3" xfId="37" builtinId="18" customBuiltin="1"/>
    <cellStyle name="Heading 3 2" xfId="755" xr:uid="{00000000-0005-0000-0000-000073070000}"/>
    <cellStyle name="Heading 3 2 2" xfId="756" xr:uid="{00000000-0005-0000-0000-000074070000}"/>
    <cellStyle name="Heading 3 2 3" xfId="757" xr:uid="{00000000-0005-0000-0000-000075070000}"/>
    <cellStyle name="Heading 3 2 4" xfId="758" xr:uid="{00000000-0005-0000-0000-000076070000}"/>
    <cellStyle name="Heading 3 2 5" xfId="759" xr:uid="{00000000-0005-0000-0000-000077070000}"/>
    <cellStyle name="Heading 3 2 6" xfId="760" xr:uid="{00000000-0005-0000-0000-000078070000}"/>
    <cellStyle name="Heading 3 2 7" xfId="761" xr:uid="{00000000-0005-0000-0000-000079070000}"/>
    <cellStyle name="Heading 3 3" xfId="4745" xr:uid="{00000000-0005-0000-0000-00007A070000}"/>
    <cellStyle name="Heading 4" xfId="38" builtinId="19" customBuiltin="1"/>
    <cellStyle name="Heading 4 2" xfId="762" xr:uid="{00000000-0005-0000-0000-00007C070000}"/>
    <cellStyle name="Heading 4 3" xfId="4746" xr:uid="{00000000-0005-0000-0000-00007D070000}"/>
    <cellStyle name="Hyperlink" xfId="2445" builtinId="8"/>
    <cellStyle name="Hyperlink 2" xfId="763" xr:uid="{00000000-0005-0000-0000-00007F070000}"/>
    <cellStyle name="Hyperlink 2 2" xfId="764" xr:uid="{00000000-0005-0000-0000-000080070000}"/>
    <cellStyle name="Hyperlink 3" xfId="765" xr:uid="{00000000-0005-0000-0000-000081070000}"/>
    <cellStyle name="Hyperlink 4" xfId="2444" xr:uid="{00000000-0005-0000-0000-000082070000}"/>
    <cellStyle name="Hyperlink 5" xfId="4732" xr:uid="{00000000-0005-0000-0000-000083070000}"/>
    <cellStyle name="Input" xfId="39" builtinId="20" customBuiltin="1"/>
    <cellStyle name="Input 2" xfId="766" xr:uid="{00000000-0005-0000-0000-000085070000}"/>
    <cellStyle name="Input 2 10" xfId="767" xr:uid="{00000000-0005-0000-0000-000086070000}"/>
    <cellStyle name="Input 2 10 10" xfId="768" xr:uid="{00000000-0005-0000-0000-000087070000}"/>
    <cellStyle name="Input 2 10 10 2" xfId="3160" xr:uid="{00000000-0005-0000-0000-000088070000}"/>
    <cellStyle name="Input 2 10 10 3" xfId="5058" xr:uid="{00000000-0005-0000-0000-000089070000}"/>
    <cellStyle name="Input 2 10 11" xfId="769" xr:uid="{00000000-0005-0000-0000-00008A070000}"/>
    <cellStyle name="Input 2 10 11 2" xfId="3161" xr:uid="{00000000-0005-0000-0000-00008B070000}"/>
    <cellStyle name="Input 2 10 11 3" xfId="5059" xr:uid="{00000000-0005-0000-0000-00008C070000}"/>
    <cellStyle name="Input 2 10 12" xfId="770" xr:uid="{00000000-0005-0000-0000-00008D070000}"/>
    <cellStyle name="Input 2 10 12 2" xfId="3162" xr:uid="{00000000-0005-0000-0000-00008E070000}"/>
    <cellStyle name="Input 2 10 12 3" xfId="5060" xr:uid="{00000000-0005-0000-0000-00008F070000}"/>
    <cellStyle name="Input 2 10 13" xfId="771" xr:uid="{00000000-0005-0000-0000-000090070000}"/>
    <cellStyle name="Input 2 10 13 2" xfId="3163" xr:uid="{00000000-0005-0000-0000-000091070000}"/>
    <cellStyle name="Input 2 10 13 3" xfId="5061" xr:uid="{00000000-0005-0000-0000-000092070000}"/>
    <cellStyle name="Input 2 10 14" xfId="772" xr:uid="{00000000-0005-0000-0000-000093070000}"/>
    <cellStyle name="Input 2 10 14 2" xfId="3164" xr:uid="{00000000-0005-0000-0000-000094070000}"/>
    <cellStyle name="Input 2 10 14 3" xfId="5062" xr:uid="{00000000-0005-0000-0000-000095070000}"/>
    <cellStyle name="Input 2 10 15" xfId="773" xr:uid="{00000000-0005-0000-0000-000096070000}"/>
    <cellStyle name="Input 2 10 15 2" xfId="3165" xr:uid="{00000000-0005-0000-0000-000097070000}"/>
    <cellStyle name="Input 2 10 15 3" xfId="5063" xr:uid="{00000000-0005-0000-0000-000098070000}"/>
    <cellStyle name="Input 2 10 16" xfId="774" xr:uid="{00000000-0005-0000-0000-000099070000}"/>
    <cellStyle name="Input 2 10 16 2" xfId="3166" xr:uid="{00000000-0005-0000-0000-00009A070000}"/>
    <cellStyle name="Input 2 10 16 3" xfId="5064" xr:uid="{00000000-0005-0000-0000-00009B070000}"/>
    <cellStyle name="Input 2 10 17" xfId="775" xr:uid="{00000000-0005-0000-0000-00009C070000}"/>
    <cellStyle name="Input 2 10 17 2" xfId="3167" xr:uid="{00000000-0005-0000-0000-00009D070000}"/>
    <cellStyle name="Input 2 10 17 3" xfId="5065" xr:uid="{00000000-0005-0000-0000-00009E070000}"/>
    <cellStyle name="Input 2 10 18" xfId="776" xr:uid="{00000000-0005-0000-0000-00009F070000}"/>
    <cellStyle name="Input 2 10 18 2" xfId="3168" xr:uid="{00000000-0005-0000-0000-0000A0070000}"/>
    <cellStyle name="Input 2 10 18 3" xfId="5066" xr:uid="{00000000-0005-0000-0000-0000A1070000}"/>
    <cellStyle name="Input 2 10 19" xfId="777" xr:uid="{00000000-0005-0000-0000-0000A2070000}"/>
    <cellStyle name="Input 2 10 19 2" xfId="3169" xr:uid="{00000000-0005-0000-0000-0000A3070000}"/>
    <cellStyle name="Input 2 10 19 3" xfId="5067" xr:uid="{00000000-0005-0000-0000-0000A4070000}"/>
    <cellStyle name="Input 2 10 2" xfId="778" xr:uid="{00000000-0005-0000-0000-0000A5070000}"/>
    <cellStyle name="Input 2 10 2 2" xfId="3170" xr:uid="{00000000-0005-0000-0000-0000A6070000}"/>
    <cellStyle name="Input 2 10 2 3" xfId="5068" xr:uid="{00000000-0005-0000-0000-0000A7070000}"/>
    <cellStyle name="Input 2 10 20" xfId="779" xr:uid="{00000000-0005-0000-0000-0000A8070000}"/>
    <cellStyle name="Input 2 10 20 2" xfId="3171" xr:uid="{00000000-0005-0000-0000-0000A9070000}"/>
    <cellStyle name="Input 2 10 20 3" xfId="5069" xr:uid="{00000000-0005-0000-0000-0000AA070000}"/>
    <cellStyle name="Input 2 10 21" xfId="780" xr:uid="{00000000-0005-0000-0000-0000AB070000}"/>
    <cellStyle name="Input 2 10 21 2" xfId="3172" xr:uid="{00000000-0005-0000-0000-0000AC070000}"/>
    <cellStyle name="Input 2 10 21 3" xfId="5070" xr:uid="{00000000-0005-0000-0000-0000AD070000}"/>
    <cellStyle name="Input 2 10 22" xfId="781" xr:uid="{00000000-0005-0000-0000-0000AE070000}"/>
    <cellStyle name="Input 2 10 22 2" xfId="3173" xr:uid="{00000000-0005-0000-0000-0000AF070000}"/>
    <cellStyle name="Input 2 10 22 3" xfId="5071" xr:uid="{00000000-0005-0000-0000-0000B0070000}"/>
    <cellStyle name="Input 2 10 23" xfId="782" xr:uid="{00000000-0005-0000-0000-0000B1070000}"/>
    <cellStyle name="Input 2 10 23 2" xfId="3174" xr:uid="{00000000-0005-0000-0000-0000B2070000}"/>
    <cellStyle name="Input 2 10 23 3" xfId="5072" xr:uid="{00000000-0005-0000-0000-0000B3070000}"/>
    <cellStyle name="Input 2 10 24" xfId="3159" xr:uid="{00000000-0005-0000-0000-0000B4070000}"/>
    <cellStyle name="Input 2 10 25" xfId="5057" xr:uid="{00000000-0005-0000-0000-0000B5070000}"/>
    <cellStyle name="Input 2 10 3" xfId="783" xr:uid="{00000000-0005-0000-0000-0000B6070000}"/>
    <cellStyle name="Input 2 10 3 2" xfId="3175" xr:uid="{00000000-0005-0000-0000-0000B7070000}"/>
    <cellStyle name="Input 2 10 3 3" xfId="5073" xr:uid="{00000000-0005-0000-0000-0000B8070000}"/>
    <cellStyle name="Input 2 10 4" xfId="784" xr:uid="{00000000-0005-0000-0000-0000B9070000}"/>
    <cellStyle name="Input 2 10 4 2" xfId="3176" xr:uid="{00000000-0005-0000-0000-0000BA070000}"/>
    <cellStyle name="Input 2 10 4 3" xfId="5074" xr:uid="{00000000-0005-0000-0000-0000BB070000}"/>
    <cellStyle name="Input 2 10 5" xfId="785" xr:uid="{00000000-0005-0000-0000-0000BC070000}"/>
    <cellStyle name="Input 2 10 5 2" xfId="3177" xr:uid="{00000000-0005-0000-0000-0000BD070000}"/>
    <cellStyle name="Input 2 10 5 3" xfId="5075" xr:uid="{00000000-0005-0000-0000-0000BE070000}"/>
    <cellStyle name="Input 2 10 6" xfId="786" xr:uid="{00000000-0005-0000-0000-0000BF070000}"/>
    <cellStyle name="Input 2 10 6 2" xfId="3178" xr:uid="{00000000-0005-0000-0000-0000C0070000}"/>
    <cellStyle name="Input 2 10 6 3" xfId="5076" xr:uid="{00000000-0005-0000-0000-0000C1070000}"/>
    <cellStyle name="Input 2 10 7" xfId="787" xr:uid="{00000000-0005-0000-0000-0000C2070000}"/>
    <cellStyle name="Input 2 10 7 2" xfId="3179" xr:uid="{00000000-0005-0000-0000-0000C3070000}"/>
    <cellStyle name="Input 2 10 7 3" xfId="5077" xr:uid="{00000000-0005-0000-0000-0000C4070000}"/>
    <cellStyle name="Input 2 10 8" xfId="788" xr:uid="{00000000-0005-0000-0000-0000C5070000}"/>
    <cellStyle name="Input 2 10 8 2" xfId="3180" xr:uid="{00000000-0005-0000-0000-0000C6070000}"/>
    <cellStyle name="Input 2 10 8 3" xfId="5078" xr:uid="{00000000-0005-0000-0000-0000C7070000}"/>
    <cellStyle name="Input 2 10 9" xfId="789" xr:uid="{00000000-0005-0000-0000-0000C8070000}"/>
    <cellStyle name="Input 2 10 9 2" xfId="3181" xr:uid="{00000000-0005-0000-0000-0000C9070000}"/>
    <cellStyle name="Input 2 10 9 3" xfId="5079" xr:uid="{00000000-0005-0000-0000-0000CA070000}"/>
    <cellStyle name="Input 2 11" xfId="790" xr:uid="{00000000-0005-0000-0000-0000CB070000}"/>
    <cellStyle name="Input 2 11 10" xfId="791" xr:uid="{00000000-0005-0000-0000-0000CC070000}"/>
    <cellStyle name="Input 2 11 10 2" xfId="3183" xr:uid="{00000000-0005-0000-0000-0000CD070000}"/>
    <cellStyle name="Input 2 11 10 3" xfId="5081" xr:uid="{00000000-0005-0000-0000-0000CE070000}"/>
    <cellStyle name="Input 2 11 11" xfId="792" xr:uid="{00000000-0005-0000-0000-0000CF070000}"/>
    <cellStyle name="Input 2 11 11 2" xfId="3184" xr:uid="{00000000-0005-0000-0000-0000D0070000}"/>
    <cellStyle name="Input 2 11 11 3" xfId="5082" xr:uid="{00000000-0005-0000-0000-0000D1070000}"/>
    <cellStyle name="Input 2 11 12" xfId="793" xr:uid="{00000000-0005-0000-0000-0000D2070000}"/>
    <cellStyle name="Input 2 11 12 2" xfId="3185" xr:uid="{00000000-0005-0000-0000-0000D3070000}"/>
    <cellStyle name="Input 2 11 12 3" xfId="5083" xr:uid="{00000000-0005-0000-0000-0000D4070000}"/>
    <cellStyle name="Input 2 11 13" xfId="794" xr:uid="{00000000-0005-0000-0000-0000D5070000}"/>
    <cellStyle name="Input 2 11 13 2" xfId="3186" xr:uid="{00000000-0005-0000-0000-0000D6070000}"/>
    <cellStyle name="Input 2 11 13 3" xfId="5084" xr:uid="{00000000-0005-0000-0000-0000D7070000}"/>
    <cellStyle name="Input 2 11 14" xfId="795" xr:uid="{00000000-0005-0000-0000-0000D8070000}"/>
    <cellStyle name="Input 2 11 14 2" xfId="3187" xr:uid="{00000000-0005-0000-0000-0000D9070000}"/>
    <cellStyle name="Input 2 11 14 3" xfId="5085" xr:uid="{00000000-0005-0000-0000-0000DA070000}"/>
    <cellStyle name="Input 2 11 15" xfId="796" xr:uid="{00000000-0005-0000-0000-0000DB070000}"/>
    <cellStyle name="Input 2 11 15 2" xfId="3188" xr:uid="{00000000-0005-0000-0000-0000DC070000}"/>
    <cellStyle name="Input 2 11 15 3" xfId="5086" xr:uid="{00000000-0005-0000-0000-0000DD070000}"/>
    <cellStyle name="Input 2 11 16" xfId="797" xr:uid="{00000000-0005-0000-0000-0000DE070000}"/>
    <cellStyle name="Input 2 11 16 2" xfId="3189" xr:uid="{00000000-0005-0000-0000-0000DF070000}"/>
    <cellStyle name="Input 2 11 16 3" xfId="5087" xr:uid="{00000000-0005-0000-0000-0000E0070000}"/>
    <cellStyle name="Input 2 11 17" xfId="798" xr:uid="{00000000-0005-0000-0000-0000E1070000}"/>
    <cellStyle name="Input 2 11 17 2" xfId="3190" xr:uid="{00000000-0005-0000-0000-0000E2070000}"/>
    <cellStyle name="Input 2 11 17 3" xfId="5088" xr:uid="{00000000-0005-0000-0000-0000E3070000}"/>
    <cellStyle name="Input 2 11 18" xfId="799" xr:uid="{00000000-0005-0000-0000-0000E4070000}"/>
    <cellStyle name="Input 2 11 18 2" xfId="3191" xr:uid="{00000000-0005-0000-0000-0000E5070000}"/>
    <cellStyle name="Input 2 11 18 3" xfId="5089" xr:uid="{00000000-0005-0000-0000-0000E6070000}"/>
    <cellStyle name="Input 2 11 19" xfId="800" xr:uid="{00000000-0005-0000-0000-0000E7070000}"/>
    <cellStyle name="Input 2 11 19 2" xfId="3192" xr:uid="{00000000-0005-0000-0000-0000E8070000}"/>
    <cellStyle name="Input 2 11 19 3" xfId="5090" xr:uid="{00000000-0005-0000-0000-0000E9070000}"/>
    <cellStyle name="Input 2 11 2" xfId="801" xr:uid="{00000000-0005-0000-0000-0000EA070000}"/>
    <cellStyle name="Input 2 11 2 2" xfId="3193" xr:uid="{00000000-0005-0000-0000-0000EB070000}"/>
    <cellStyle name="Input 2 11 2 3" xfId="5091" xr:uid="{00000000-0005-0000-0000-0000EC070000}"/>
    <cellStyle name="Input 2 11 20" xfId="802" xr:uid="{00000000-0005-0000-0000-0000ED070000}"/>
    <cellStyle name="Input 2 11 20 2" xfId="3194" xr:uid="{00000000-0005-0000-0000-0000EE070000}"/>
    <cellStyle name="Input 2 11 20 3" xfId="5092" xr:uid="{00000000-0005-0000-0000-0000EF070000}"/>
    <cellStyle name="Input 2 11 21" xfId="803" xr:uid="{00000000-0005-0000-0000-0000F0070000}"/>
    <cellStyle name="Input 2 11 21 2" xfId="3195" xr:uid="{00000000-0005-0000-0000-0000F1070000}"/>
    <cellStyle name="Input 2 11 21 3" xfId="5093" xr:uid="{00000000-0005-0000-0000-0000F2070000}"/>
    <cellStyle name="Input 2 11 22" xfId="804" xr:uid="{00000000-0005-0000-0000-0000F3070000}"/>
    <cellStyle name="Input 2 11 22 2" xfId="3196" xr:uid="{00000000-0005-0000-0000-0000F4070000}"/>
    <cellStyle name="Input 2 11 22 3" xfId="5094" xr:uid="{00000000-0005-0000-0000-0000F5070000}"/>
    <cellStyle name="Input 2 11 23" xfId="805" xr:uid="{00000000-0005-0000-0000-0000F6070000}"/>
    <cellStyle name="Input 2 11 23 2" xfId="3197" xr:uid="{00000000-0005-0000-0000-0000F7070000}"/>
    <cellStyle name="Input 2 11 23 3" xfId="5095" xr:uid="{00000000-0005-0000-0000-0000F8070000}"/>
    <cellStyle name="Input 2 11 24" xfId="3182" xr:uid="{00000000-0005-0000-0000-0000F9070000}"/>
    <cellStyle name="Input 2 11 25" xfId="5080" xr:uid="{00000000-0005-0000-0000-0000FA070000}"/>
    <cellStyle name="Input 2 11 3" xfId="806" xr:uid="{00000000-0005-0000-0000-0000FB070000}"/>
    <cellStyle name="Input 2 11 3 2" xfId="3198" xr:uid="{00000000-0005-0000-0000-0000FC070000}"/>
    <cellStyle name="Input 2 11 3 3" xfId="5096" xr:uid="{00000000-0005-0000-0000-0000FD070000}"/>
    <cellStyle name="Input 2 11 4" xfId="807" xr:uid="{00000000-0005-0000-0000-0000FE070000}"/>
    <cellStyle name="Input 2 11 4 2" xfId="3199" xr:uid="{00000000-0005-0000-0000-0000FF070000}"/>
    <cellStyle name="Input 2 11 4 3" xfId="5097" xr:uid="{00000000-0005-0000-0000-000000080000}"/>
    <cellStyle name="Input 2 11 5" xfId="808" xr:uid="{00000000-0005-0000-0000-000001080000}"/>
    <cellStyle name="Input 2 11 5 2" xfId="3200" xr:uid="{00000000-0005-0000-0000-000002080000}"/>
    <cellStyle name="Input 2 11 5 3" xfId="5098" xr:uid="{00000000-0005-0000-0000-000003080000}"/>
    <cellStyle name="Input 2 11 6" xfId="809" xr:uid="{00000000-0005-0000-0000-000004080000}"/>
    <cellStyle name="Input 2 11 6 2" xfId="3201" xr:uid="{00000000-0005-0000-0000-000005080000}"/>
    <cellStyle name="Input 2 11 6 3" xfId="5099" xr:uid="{00000000-0005-0000-0000-000006080000}"/>
    <cellStyle name="Input 2 11 7" xfId="810" xr:uid="{00000000-0005-0000-0000-000007080000}"/>
    <cellStyle name="Input 2 11 7 2" xfId="3202" xr:uid="{00000000-0005-0000-0000-000008080000}"/>
    <cellStyle name="Input 2 11 7 3" xfId="5100" xr:uid="{00000000-0005-0000-0000-000009080000}"/>
    <cellStyle name="Input 2 11 8" xfId="811" xr:uid="{00000000-0005-0000-0000-00000A080000}"/>
    <cellStyle name="Input 2 11 8 2" xfId="3203" xr:uid="{00000000-0005-0000-0000-00000B080000}"/>
    <cellStyle name="Input 2 11 8 3" xfId="5101" xr:uid="{00000000-0005-0000-0000-00000C080000}"/>
    <cellStyle name="Input 2 11 9" xfId="812" xr:uid="{00000000-0005-0000-0000-00000D080000}"/>
    <cellStyle name="Input 2 11 9 2" xfId="3204" xr:uid="{00000000-0005-0000-0000-00000E080000}"/>
    <cellStyle name="Input 2 11 9 3" xfId="5102" xr:uid="{00000000-0005-0000-0000-00000F080000}"/>
    <cellStyle name="Input 2 12" xfId="813" xr:uid="{00000000-0005-0000-0000-000010080000}"/>
    <cellStyle name="Input 2 12 10" xfId="814" xr:uid="{00000000-0005-0000-0000-000011080000}"/>
    <cellStyle name="Input 2 12 10 2" xfId="3206" xr:uid="{00000000-0005-0000-0000-000012080000}"/>
    <cellStyle name="Input 2 12 10 3" xfId="5104" xr:uid="{00000000-0005-0000-0000-000013080000}"/>
    <cellStyle name="Input 2 12 11" xfId="815" xr:uid="{00000000-0005-0000-0000-000014080000}"/>
    <cellStyle name="Input 2 12 11 2" xfId="3207" xr:uid="{00000000-0005-0000-0000-000015080000}"/>
    <cellStyle name="Input 2 12 11 3" xfId="5105" xr:uid="{00000000-0005-0000-0000-000016080000}"/>
    <cellStyle name="Input 2 12 12" xfId="816" xr:uid="{00000000-0005-0000-0000-000017080000}"/>
    <cellStyle name="Input 2 12 12 2" xfId="3208" xr:uid="{00000000-0005-0000-0000-000018080000}"/>
    <cellStyle name="Input 2 12 12 3" xfId="5106" xr:uid="{00000000-0005-0000-0000-000019080000}"/>
    <cellStyle name="Input 2 12 13" xfId="817" xr:uid="{00000000-0005-0000-0000-00001A080000}"/>
    <cellStyle name="Input 2 12 13 2" xfId="3209" xr:uid="{00000000-0005-0000-0000-00001B080000}"/>
    <cellStyle name="Input 2 12 13 3" xfId="5107" xr:uid="{00000000-0005-0000-0000-00001C080000}"/>
    <cellStyle name="Input 2 12 14" xfId="818" xr:uid="{00000000-0005-0000-0000-00001D080000}"/>
    <cellStyle name="Input 2 12 14 2" xfId="3210" xr:uid="{00000000-0005-0000-0000-00001E080000}"/>
    <cellStyle name="Input 2 12 14 3" xfId="5108" xr:uid="{00000000-0005-0000-0000-00001F080000}"/>
    <cellStyle name="Input 2 12 15" xfId="819" xr:uid="{00000000-0005-0000-0000-000020080000}"/>
    <cellStyle name="Input 2 12 15 2" xfId="3211" xr:uid="{00000000-0005-0000-0000-000021080000}"/>
    <cellStyle name="Input 2 12 15 3" xfId="5109" xr:uid="{00000000-0005-0000-0000-000022080000}"/>
    <cellStyle name="Input 2 12 16" xfId="820" xr:uid="{00000000-0005-0000-0000-000023080000}"/>
    <cellStyle name="Input 2 12 16 2" xfId="3212" xr:uid="{00000000-0005-0000-0000-000024080000}"/>
    <cellStyle name="Input 2 12 16 3" xfId="5110" xr:uid="{00000000-0005-0000-0000-000025080000}"/>
    <cellStyle name="Input 2 12 17" xfId="821" xr:uid="{00000000-0005-0000-0000-000026080000}"/>
    <cellStyle name="Input 2 12 17 2" xfId="3213" xr:uid="{00000000-0005-0000-0000-000027080000}"/>
    <cellStyle name="Input 2 12 17 3" xfId="5111" xr:uid="{00000000-0005-0000-0000-000028080000}"/>
    <cellStyle name="Input 2 12 18" xfId="822" xr:uid="{00000000-0005-0000-0000-000029080000}"/>
    <cellStyle name="Input 2 12 18 2" xfId="3214" xr:uid="{00000000-0005-0000-0000-00002A080000}"/>
    <cellStyle name="Input 2 12 18 3" xfId="5112" xr:uid="{00000000-0005-0000-0000-00002B080000}"/>
    <cellStyle name="Input 2 12 19" xfId="823" xr:uid="{00000000-0005-0000-0000-00002C080000}"/>
    <cellStyle name="Input 2 12 19 2" xfId="3215" xr:uid="{00000000-0005-0000-0000-00002D080000}"/>
    <cellStyle name="Input 2 12 19 3" xfId="5113" xr:uid="{00000000-0005-0000-0000-00002E080000}"/>
    <cellStyle name="Input 2 12 2" xfId="824" xr:uid="{00000000-0005-0000-0000-00002F080000}"/>
    <cellStyle name="Input 2 12 2 2" xfId="3216" xr:uid="{00000000-0005-0000-0000-000030080000}"/>
    <cellStyle name="Input 2 12 2 3" xfId="5114" xr:uid="{00000000-0005-0000-0000-000031080000}"/>
    <cellStyle name="Input 2 12 20" xfId="825" xr:uid="{00000000-0005-0000-0000-000032080000}"/>
    <cellStyle name="Input 2 12 20 2" xfId="3217" xr:uid="{00000000-0005-0000-0000-000033080000}"/>
    <cellStyle name="Input 2 12 20 3" xfId="5115" xr:uid="{00000000-0005-0000-0000-000034080000}"/>
    <cellStyle name="Input 2 12 21" xfId="826" xr:uid="{00000000-0005-0000-0000-000035080000}"/>
    <cellStyle name="Input 2 12 21 2" xfId="3218" xr:uid="{00000000-0005-0000-0000-000036080000}"/>
    <cellStyle name="Input 2 12 21 3" xfId="5116" xr:uid="{00000000-0005-0000-0000-000037080000}"/>
    <cellStyle name="Input 2 12 22" xfId="827" xr:uid="{00000000-0005-0000-0000-000038080000}"/>
    <cellStyle name="Input 2 12 22 2" xfId="3219" xr:uid="{00000000-0005-0000-0000-000039080000}"/>
    <cellStyle name="Input 2 12 22 3" xfId="5117" xr:uid="{00000000-0005-0000-0000-00003A080000}"/>
    <cellStyle name="Input 2 12 23" xfId="828" xr:uid="{00000000-0005-0000-0000-00003B080000}"/>
    <cellStyle name="Input 2 12 23 2" xfId="3220" xr:uid="{00000000-0005-0000-0000-00003C080000}"/>
    <cellStyle name="Input 2 12 23 3" xfId="5118" xr:uid="{00000000-0005-0000-0000-00003D080000}"/>
    <cellStyle name="Input 2 12 24" xfId="3205" xr:uid="{00000000-0005-0000-0000-00003E080000}"/>
    <cellStyle name="Input 2 12 25" xfId="5103" xr:uid="{00000000-0005-0000-0000-00003F080000}"/>
    <cellStyle name="Input 2 12 3" xfId="829" xr:uid="{00000000-0005-0000-0000-000040080000}"/>
    <cellStyle name="Input 2 12 3 2" xfId="3221" xr:uid="{00000000-0005-0000-0000-000041080000}"/>
    <cellStyle name="Input 2 12 3 3" xfId="5119" xr:uid="{00000000-0005-0000-0000-000042080000}"/>
    <cellStyle name="Input 2 12 4" xfId="830" xr:uid="{00000000-0005-0000-0000-000043080000}"/>
    <cellStyle name="Input 2 12 4 2" xfId="3222" xr:uid="{00000000-0005-0000-0000-000044080000}"/>
    <cellStyle name="Input 2 12 4 3" xfId="5120" xr:uid="{00000000-0005-0000-0000-000045080000}"/>
    <cellStyle name="Input 2 12 5" xfId="831" xr:uid="{00000000-0005-0000-0000-000046080000}"/>
    <cellStyle name="Input 2 12 5 2" xfId="3223" xr:uid="{00000000-0005-0000-0000-000047080000}"/>
    <cellStyle name="Input 2 12 5 3" xfId="5121" xr:uid="{00000000-0005-0000-0000-000048080000}"/>
    <cellStyle name="Input 2 12 6" xfId="832" xr:uid="{00000000-0005-0000-0000-000049080000}"/>
    <cellStyle name="Input 2 12 6 2" xfId="3224" xr:uid="{00000000-0005-0000-0000-00004A080000}"/>
    <cellStyle name="Input 2 12 6 3" xfId="5122" xr:uid="{00000000-0005-0000-0000-00004B080000}"/>
    <cellStyle name="Input 2 12 7" xfId="833" xr:uid="{00000000-0005-0000-0000-00004C080000}"/>
    <cellStyle name="Input 2 12 7 2" xfId="3225" xr:uid="{00000000-0005-0000-0000-00004D080000}"/>
    <cellStyle name="Input 2 12 7 3" xfId="5123" xr:uid="{00000000-0005-0000-0000-00004E080000}"/>
    <cellStyle name="Input 2 12 8" xfId="834" xr:uid="{00000000-0005-0000-0000-00004F080000}"/>
    <cellStyle name="Input 2 12 8 2" xfId="3226" xr:uid="{00000000-0005-0000-0000-000050080000}"/>
    <cellStyle name="Input 2 12 8 3" xfId="5124" xr:uid="{00000000-0005-0000-0000-000051080000}"/>
    <cellStyle name="Input 2 12 9" xfId="835" xr:uid="{00000000-0005-0000-0000-000052080000}"/>
    <cellStyle name="Input 2 12 9 2" xfId="3227" xr:uid="{00000000-0005-0000-0000-000053080000}"/>
    <cellStyle name="Input 2 12 9 3" xfId="5125" xr:uid="{00000000-0005-0000-0000-000054080000}"/>
    <cellStyle name="Input 2 13" xfId="836" xr:uid="{00000000-0005-0000-0000-000055080000}"/>
    <cellStyle name="Input 2 13 10" xfId="837" xr:uid="{00000000-0005-0000-0000-000056080000}"/>
    <cellStyle name="Input 2 13 10 2" xfId="3229" xr:uid="{00000000-0005-0000-0000-000057080000}"/>
    <cellStyle name="Input 2 13 10 3" xfId="5127" xr:uid="{00000000-0005-0000-0000-000058080000}"/>
    <cellStyle name="Input 2 13 11" xfId="838" xr:uid="{00000000-0005-0000-0000-000059080000}"/>
    <cellStyle name="Input 2 13 11 2" xfId="3230" xr:uid="{00000000-0005-0000-0000-00005A080000}"/>
    <cellStyle name="Input 2 13 11 3" xfId="5128" xr:uid="{00000000-0005-0000-0000-00005B080000}"/>
    <cellStyle name="Input 2 13 12" xfId="839" xr:uid="{00000000-0005-0000-0000-00005C080000}"/>
    <cellStyle name="Input 2 13 12 2" xfId="3231" xr:uid="{00000000-0005-0000-0000-00005D080000}"/>
    <cellStyle name="Input 2 13 12 3" xfId="5129" xr:uid="{00000000-0005-0000-0000-00005E080000}"/>
    <cellStyle name="Input 2 13 13" xfId="840" xr:uid="{00000000-0005-0000-0000-00005F080000}"/>
    <cellStyle name="Input 2 13 13 2" xfId="3232" xr:uid="{00000000-0005-0000-0000-000060080000}"/>
    <cellStyle name="Input 2 13 13 3" xfId="5130" xr:uid="{00000000-0005-0000-0000-000061080000}"/>
    <cellStyle name="Input 2 13 14" xfId="841" xr:uid="{00000000-0005-0000-0000-000062080000}"/>
    <cellStyle name="Input 2 13 14 2" xfId="3233" xr:uid="{00000000-0005-0000-0000-000063080000}"/>
    <cellStyle name="Input 2 13 14 3" xfId="5131" xr:uid="{00000000-0005-0000-0000-000064080000}"/>
    <cellStyle name="Input 2 13 15" xfId="842" xr:uid="{00000000-0005-0000-0000-000065080000}"/>
    <cellStyle name="Input 2 13 15 2" xfId="3234" xr:uid="{00000000-0005-0000-0000-000066080000}"/>
    <cellStyle name="Input 2 13 15 3" xfId="5132" xr:uid="{00000000-0005-0000-0000-000067080000}"/>
    <cellStyle name="Input 2 13 16" xfId="843" xr:uid="{00000000-0005-0000-0000-000068080000}"/>
    <cellStyle name="Input 2 13 16 2" xfId="3235" xr:uid="{00000000-0005-0000-0000-000069080000}"/>
    <cellStyle name="Input 2 13 16 3" xfId="5133" xr:uid="{00000000-0005-0000-0000-00006A080000}"/>
    <cellStyle name="Input 2 13 17" xfId="844" xr:uid="{00000000-0005-0000-0000-00006B080000}"/>
    <cellStyle name="Input 2 13 17 2" xfId="3236" xr:uid="{00000000-0005-0000-0000-00006C080000}"/>
    <cellStyle name="Input 2 13 17 3" xfId="5134" xr:uid="{00000000-0005-0000-0000-00006D080000}"/>
    <cellStyle name="Input 2 13 18" xfId="845" xr:uid="{00000000-0005-0000-0000-00006E080000}"/>
    <cellStyle name="Input 2 13 18 2" xfId="3237" xr:uid="{00000000-0005-0000-0000-00006F080000}"/>
    <cellStyle name="Input 2 13 18 3" xfId="5135" xr:uid="{00000000-0005-0000-0000-000070080000}"/>
    <cellStyle name="Input 2 13 19" xfId="846" xr:uid="{00000000-0005-0000-0000-000071080000}"/>
    <cellStyle name="Input 2 13 19 2" xfId="3238" xr:uid="{00000000-0005-0000-0000-000072080000}"/>
    <cellStyle name="Input 2 13 19 3" xfId="5136" xr:uid="{00000000-0005-0000-0000-000073080000}"/>
    <cellStyle name="Input 2 13 2" xfId="847" xr:uid="{00000000-0005-0000-0000-000074080000}"/>
    <cellStyle name="Input 2 13 2 2" xfId="3239" xr:uid="{00000000-0005-0000-0000-000075080000}"/>
    <cellStyle name="Input 2 13 2 3" xfId="5137" xr:uid="{00000000-0005-0000-0000-000076080000}"/>
    <cellStyle name="Input 2 13 20" xfId="848" xr:uid="{00000000-0005-0000-0000-000077080000}"/>
    <cellStyle name="Input 2 13 20 2" xfId="3240" xr:uid="{00000000-0005-0000-0000-000078080000}"/>
    <cellStyle name="Input 2 13 20 3" xfId="5138" xr:uid="{00000000-0005-0000-0000-000079080000}"/>
    <cellStyle name="Input 2 13 21" xfId="849" xr:uid="{00000000-0005-0000-0000-00007A080000}"/>
    <cellStyle name="Input 2 13 21 2" xfId="3241" xr:uid="{00000000-0005-0000-0000-00007B080000}"/>
    <cellStyle name="Input 2 13 21 3" xfId="5139" xr:uid="{00000000-0005-0000-0000-00007C080000}"/>
    <cellStyle name="Input 2 13 22" xfId="850" xr:uid="{00000000-0005-0000-0000-00007D080000}"/>
    <cellStyle name="Input 2 13 22 2" xfId="3242" xr:uid="{00000000-0005-0000-0000-00007E080000}"/>
    <cellStyle name="Input 2 13 22 3" xfId="5140" xr:uid="{00000000-0005-0000-0000-00007F080000}"/>
    <cellStyle name="Input 2 13 23" xfId="851" xr:uid="{00000000-0005-0000-0000-000080080000}"/>
    <cellStyle name="Input 2 13 23 2" xfId="3243" xr:uid="{00000000-0005-0000-0000-000081080000}"/>
    <cellStyle name="Input 2 13 23 3" xfId="5141" xr:uid="{00000000-0005-0000-0000-000082080000}"/>
    <cellStyle name="Input 2 13 24" xfId="3228" xr:uid="{00000000-0005-0000-0000-000083080000}"/>
    <cellStyle name="Input 2 13 25" xfId="5126" xr:uid="{00000000-0005-0000-0000-000084080000}"/>
    <cellStyle name="Input 2 13 3" xfId="852" xr:uid="{00000000-0005-0000-0000-000085080000}"/>
    <cellStyle name="Input 2 13 3 2" xfId="3244" xr:uid="{00000000-0005-0000-0000-000086080000}"/>
    <cellStyle name="Input 2 13 3 3" xfId="5142" xr:uid="{00000000-0005-0000-0000-000087080000}"/>
    <cellStyle name="Input 2 13 4" xfId="853" xr:uid="{00000000-0005-0000-0000-000088080000}"/>
    <cellStyle name="Input 2 13 4 2" xfId="3245" xr:uid="{00000000-0005-0000-0000-000089080000}"/>
    <cellStyle name="Input 2 13 4 3" xfId="5143" xr:uid="{00000000-0005-0000-0000-00008A080000}"/>
    <cellStyle name="Input 2 13 5" xfId="854" xr:uid="{00000000-0005-0000-0000-00008B080000}"/>
    <cellStyle name="Input 2 13 5 2" xfId="3246" xr:uid="{00000000-0005-0000-0000-00008C080000}"/>
    <cellStyle name="Input 2 13 5 3" xfId="5144" xr:uid="{00000000-0005-0000-0000-00008D080000}"/>
    <cellStyle name="Input 2 13 6" xfId="855" xr:uid="{00000000-0005-0000-0000-00008E080000}"/>
    <cellStyle name="Input 2 13 6 2" xfId="3247" xr:uid="{00000000-0005-0000-0000-00008F080000}"/>
    <cellStyle name="Input 2 13 6 3" xfId="5145" xr:uid="{00000000-0005-0000-0000-000090080000}"/>
    <cellStyle name="Input 2 13 7" xfId="856" xr:uid="{00000000-0005-0000-0000-000091080000}"/>
    <cellStyle name="Input 2 13 7 2" xfId="3248" xr:uid="{00000000-0005-0000-0000-000092080000}"/>
    <cellStyle name="Input 2 13 7 3" xfId="5146" xr:uid="{00000000-0005-0000-0000-000093080000}"/>
    <cellStyle name="Input 2 13 8" xfId="857" xr:uid="{00000000-0005-0000-0000-000094080000}"/>
    <cellStyle name="Input 2 13 8 2" xfId="3249" xr:uid="{00000000-0005-0000-0000-000095080000}"/>
    <cellStyle name="Input 2 13 8 3" xfId="5147" xr:uid="{00000000-0005-0000-0000-000096080000}"/>
    <cellStyle name="Input 2 13 9" xfId="858" xr:uid="{00000000-0005-0000-0000-000097080000}"/>
    <cellStyle name="Input 2 13 9 2" xfId="3250" xr:uid="{00000000-0005-0000-0000-000098080000}"/>
    <cellStyle name="Input 2 13 9 3" xfId="5148" xr:uid="{00000000-0005-0000-0000-000099080000}"/>
    <cellStyle name="Input 2 14" xfId="859" xr:uid="{00000000-0005-0000-0000-00009A080000}"/>
    <cellStyle name="Input 2 14 10" xfId="860" xr:uid="{00000000-0005-0000-0000-00009B080000}"/>
    <cellStyle name="Input 2 14 10 2" xfId="3252" xr:uid="{00000000-0005-0000-0000-00009C080000}"/>
    <cellStyle name="Input 2 14 10 3" xfId="5150" xr:uid="{00000000-0005-0000-0000-00009D080000}"/>
    <cellStyle name="Input 2 14 11" xfId="861" xr:uid="{00000000-0005-0000-0000-00009E080000}"/>
    <cellStyle name="Input 2 14 11 2" xfId="3253" xr:uid="{00000000-0005-0000-0000-00009F080000}"/>
    <cellStyle name="Input 2 14 11 3" xfId="5151" xr:uid="{00000000-0005-0000-0000-0000A0080000}"/>
    <cellStyle name="Input 2 14 12" xfId="862" xr:uid="{00000000-0005-0000-0000-0000A1080000}"/>
    <cellStyle name="Input 2 14 12 2" xfId="3254" xr:uid="{00000000-0005-0000-0000-0000A2080000}"/>
    <cellStyle name="Input 2 14 12 3" xfId="5152" xr:uid="{00000000-0005-0000-0000-0000A3080000}"/>
    <cellStyle name="Input 2 14 13" xfId="863" xr:uid="{00000000-0005-0000-0000-0000A4080000}"/>
    <cellStyle name="Input 2 14 13 2" xfId="3255" xr:uid="{00000000-0005-0000-0000-0000A5080000}"/>
    <cellStyle name="Input 2 14 13 3" xfId="5153" xr:uid="{00000000-0005-0000-0000-0000A6080000}"/>
    <cellStyle name="Input 2 14 14" xfId="864" xr:uid="{00000000-0005-0000-0000-0000A7080000}"/>
    <cellStyle name="Input 2 14 14 2" xfId="3256" xr:uid="{00000000-0005-0000-0000-0000A8080000}"/>
    <cellStyle name="Input 2 14 14 3" xfId="5154" xr:uid="{00000000-0005-0000-0000-0000A9080000}"/>
    <cellStyle name="Input 2 14 15" xfId="865" xr:uid="{00000000-0005-0000-0000-0000AA080000}"/>
    <cellStyle name="Input 2 14 15 2" xfId="3257" xr:uid="{00000000-0005-0000-0000-0000AB080000}"/>
    <cellStyle name="Input 2 14 15 3" xfId="5155" xr:uid="{00000000-0005-0000-0000-0000AC080000}"/>
    <cellStyle name="Input 2 14 16" xfId="866" xr:uid="{00000000-0005-0000-0000-0000AD080000}"/>
    <cellStyle name="Input 2 14 16 2" xfId="3258" xr:uid="{00000000-0005-0000-0000-0000AE080000}"/>
    <cellStyle name="Input 2 14 16 3" xfId="5156" xr:uid="{00000000-0005-0000-0000-0000AF080000}"/>
    <cellStyle name="Input 2 14 17" xfId="867" xr:uid="{00000000-0005-0000-0000-0000B0080000}"/>
    <cellStyle name="Input 2 14 17 2" xfId="3259" xr:uid="{00000000-0005-0000-0000-0000B1080000}"/>
    <cellStyle name="Input 2 14 17 3" xfId="5157" xr:uid="{00000000-0005-0000-0000-0000B2080000}"/>
    <cellStyle name="Input 2 14 18" xfId="868" xr:uid="{00000000-0005-0000-0000-0000B3080000}"/>
    <cellStyle name="Input 2 14 18 2" xfId="3260" xr:uid="{00000000-0005-0000-0000-0000B4080000}"/>
    <cellStyle name="Input 2 14 18 3" xfId="5158" xr:uid="{00000000-0005-0000-0000-0000B5080000}"/>
    <cellStyle name="Input 2 14 19" xfId="869" xr:uid="{00000000-0005-0000-0000-0000B6080000}"/>
    <cellStyle name="Input 2 14 19 2" xfId="3261" xr:uid="{00000000-0005-0000-0000-0000B7080000}"/>
    <cellStyle name="Input 2 14 19 3" xfId="5159" xr:uid="{00000000-0005-0000-0000-0000B8080000}"/>
    <cellStyle name="Input 2 14 2" xfId="870" xr:uid="{00000000-0005-0000-0000-0000B9080000}"/>
    <cellStyle name="Input 2 14 2 2" xfId="3262" xr:uid="{00000000-0005-0000-0000-0000BA080000}"/>
    <cellStyle name="Input 2 14 2 3" xfId="5160" xr:uid="{00000000-0005-0000-0000-0000BB080000}"/>
    <cellStyle name="Input 2 14 20" xfId="871" xr:uid="{00000000-0005-0000-0000-0000BC080000}"/>
    <cellStyle name="Input 2 14 20 2" xfId="3263" xr:uid="{00000000-0005-0000-0000-0000BD080000}"/>
    <cellStyle name="Input 2 14 20 3" xfId="5161" xr:uid="{00000000-0005-0000-0000-0000BE080000}"/>
    <cellStyle name="Input 2 14 21" xfId="872" xr:uid="{00000000-0005-0000-0000-0000BF080000}"/>
    <cellStyle name="Input 2 14 21 2" xfId="3264" xr:uid="{00000000-0005-0000-0000-0000C0080000}"/>
    <cellStyle name="Input 2 14 21 3" xfId="5162" xr:uid="{00000000-0005-0000-0000-0000C1080000}"/>
    <cellStyle name="Input 2 14 22" xfId="873" xr:uid="{00000000-0005-0000-0000-0000C2080000}"/>
    <cellStyle name="Input 2 14 22 2" xfId="3265" xr:uid="{00000000-0005-0000-0000-0000C3080000}"/>
    <cellStyle name="Input 2 14 22 3" xfId="5163" xr:uid="{00000000-0005-0000-0000-0000C4080000}"/>
    <cellStyle name="Input 2 14 23" xfId="874" xr:uid="{00000000-0005-0000-0000-0000C5080000}"/>
    <cellStyle name="Input 2 14 23 2" xfId="3266" xr:uid="{00000000-0005-0000-0000-0000C6080000}"/>
    <cellStyle name="Input 2 14 23 3" xfId="5164" xr:uid="{00000000-0005-0000-0000-0000C7080000}"/>
    <cellStyle name="Input 2 14 24" xfId="3251" xr:uid="{00000000-0005-0000-0000-0000C8080000}"/>
    <cellStyle name="Input 2 14 25" xfId="5149" xr:uid="{00000000-0005-0000-0000-0000C9080000}"/>
    <cellStyle name="Input 2 14 3" xfId="875" xr:uid="{00000000-0005-0000-0000-0000CA080000}"/>
    <cellStyle name="Input 2 14 3 2" xfId="3267" xr:uid="{00000000-0005-0000-0000-0000CB080000}"/>
    <cellStyle name="Input 2 14 3 3" xfId="5165" xr:uid="{00000000-0005-0000-0000-0000CC080000}"/>
    <cellStyle name="Input 2 14 4" xfId="876" xr:uid="{00000000-0005-0000-0000-0000CD080000}"/>
    <cellStyle name="Input 2 14 4 2" xfId="3268" xr:uid="{00000000-0005-0000-0000-0000CE080000}"/>
    <cellStyle name="Input 2 14 4 3" xfId="5166" xr:uid="{00000000-0005-0000-0000-0000CF080000}"/>
    <cellStyle name="Input 2 14 5" xfId="877" xr:uid="{00000000-0005-0000-0000-0000D0080000}"/>
    <cellStyle name="Input 2 14 5 2" xfId="3269" xr:uid="{00000000-0005-0000-0000-0000D1080000}"/>
    <cellStyle name="Input 2 14 5 3" xfId="5167" xr:uid="{00000000-0005-0000-0000-0000D2080000}"/>
    <cellStyle name="Input 2 14 6" xfId="878" xr:uid="{00000000-0005-0000-0000-0000D3080000}"/>
    <cellStyle name="Input 2 14 6 2" xfId="3270" xr:uid="{00000000-0005-0000-0000-0000D4080000}"/>
    <cellStyle name="Input 2 14 6 3" xfId="5168" xr:uid="{00000000-0005-0000-0000-0000D5080000}"/>
    <cellStyle name="Input 2 14 7" xfId="879" xr:uid="{00000000-0005-0000-0000-0000D6080000}"/>
    <cellStyle name="Input 2 14 7 2" xfId="3271" xr:uid="{00000000-0005-0000-0000-0000D7080000}"/>
    <cellStyle name="Input 2 14 7 3" xfId="5169" xr:uid="{00000000-0005-0000-0000-0000D8080000}"/>
    <cellStyle name="Input 2 14 8" xfId="880" xr:uid="{00000000-0005-0000-0000-0000D9080000}"/>
    <cellStyle name="Input 2 14 8 2" xfId="3272" xr:uid="{00000000-0005-0000-0000-0000DA080000}"/>
    <cellStyle name="Input 2 14 8 3" xfId="5170" xr:uid="{00000000-0005-0000-0000-0000DB080000}"/>
    <cellStyle name="Input 2 14 9" xfId="881" xr:uid="{00000000-0005-0000-0000-0000DC080000}"/>
    <cellStyle name="Input 2 14 9 2" xfId="3273" xr:uid="{00000000-0005-0000-0000-0000DD080000}"/>
    <cellStyle name="Input 2 14 9 3" xfId="5171" xr:uid="{00000000-0005-0000-0000-0000DE080000}"/>
    <cellStyle name="Input 2 15" xfId="882" xr:uid="{00000000-0005-0000-0000-0000DF080000}"/>
    <cellStyle name="Input 2 15 10" xfId="883" xr:uid="{00000000-0005-0000-0000-0000E0080000}"/>
    <cellStyle name="Input 2 15 10 2" xfId="3275" xr:uid="{00000000-0005-0000-0000-0000E1080000}"/>
    <cellStyle name="Input 2 15 10 3" xfId="5173" xr:uid="{00000000-0005-0000-0000-0000E2080000}"/>
    <cellStyle name="Input 2 15 11" xfId="884" xr:uid="{00000000-0005-0000-0000-0000E3080000}"/>
    <cellStyle name="Input 2 15 11 2" xfId="3276" xr:uid="{00000000-0005-0000-0000-0000E4080000}"/>
    <cellStyle name="Input 2 15 11 3" xfId="5174" xr:uid="{00000000-0005-0000-0000-0000E5080000}"/>
    <cellStyle name="Input 2 15 12" xfId="885" xr:uid="{00000000-0005-0000-0000-0000E6080000}"/>
    <cellStyle name="Input 2 15 12 2" xfId="3277" xr:uid="{00000000-0005-0000-0000-0000E7080000}"/>
    <cellStyle name="Input 2 15 12 3" xfId="5175" xr:uid="{00000000-0005-0000-0000-0000E8080000}"/>
    <cellStyle name="Input 2 15 13" xfId="886" xr:uid="{00000000-0005-0000-0000-0000E9080000}"/>
    <cellStyle name="Input 2 15 13 2" xfId="3278" xr:uid="{00000000-0005-0000-0000-0000EA080000}"/>
    <cellStyle name="Input 2 15 13 3" xfId="5176" xr:uid="{00000000-0005-0000-0000-0000EB080000}"/>
    <cellStyle name="Input 2 15 14" xfId="887" xr:uid="{00000000-0005-0000-0000-0000EC080000}"/>
    <cellStyle name="Input 2 15 14 2" xfId="3279" xr:uid="{00000000-0005-0000-0000-0000ED080000}"/>
    <cellStyle name="Input 2 15 14 3" xfId="5177" xr:uid="{00000000-0005-0000-0000-0000EE080000}"/>
    <cellStyle name="Input 2 15 15" xfId="888" xr:uid="{00000000-0005-0000-0000-0000EF080000}"/>
    <cellStyle name="Input 2 15 15 2" xfId="3280" xr:uid="{00000000-0005-0000-0000-0000F0080000}"/>
    <cellStyle name="Input 2 15 15 3" xfId="5178" xr:uid="{00000000-0005-0000-0000-0000F1080000}"/>
    <cellStyle name="Input 2 15 16" xfId="889" xr:uid="{00000000-0005-0000-0000-0000F2080000}"/>
    <cellStyle name="Input 2 15 16 2" xfId="3281" xr:uid="{00000000-0005-0000-0000-0000F3080000}"/>
    <cellStyle name="Input 2 15 16 3" xfId="5179" xr:uid="{00000000-0005-0000-0000-0000F4080000}"/>
    <cellStyle name="Input 2 15 17" xfId="890" xr:uid="{00000000-0005-0000-0000-0000F5080000}"/>
    <cellStyle name="Input 2 15 17 2" xfId="3282" xr:uid="{00000000-0005-0000-0000-0000F6080000}"/>
    <cellStyle name="Input 2 15 17 3" xfId="5180" xr:uid="{00000000-0005-0000-0000-0000F7080000}"/>
    <cellStyle name="Input 2 15 18" xfId="891" xr:uid="{00000000-0005-0000-0000-0000F8080000}"/>
    <cellStyle name="Input 2 15 18 2" xfId="3283" xr:uid="{00000000-0005-0000-0000-0000F9080000}"/>
    <cellStyle name="Input 2 15 18 3" xfId="5181" xr:uid="{00000000-0005-0000-0000-0000FA080000}"/>
    <cellStyle name="Input 2 15 19" xfId="892" xr:uid="{00000000-0005-0000-0000-0000FB080000}"/>
    <cellStyle name="Input 2 15 19 2" xfId="3284" xr:uid="{00000000-0005-0000-0000-0000FC080000}"/>
    <cellStyle name="Input 2 15 19 3" xfId="5182" xr:uid="{00000000-0005-0000-0000-0000FD080000}"/>
    <cellStyle name="Input 2 15 2" xfId="893" xr:uid="{00000000-0005-0000-0000-0000FE080000}"/>
    <cellStyle name="Input 2 15 2 2" xfId="3285" xr:uid="{00000000-0005-0000-0000-0000FF080000}"/>
    <cellStyle name="Input 2 15 2 3" xfId="5183" xr:uid="{00000000-0005-0000-0000-000000090000}"/>
    <cellStyle name="Input 2 15 20" xfId="894" xr:uid="{00000000-0005-0000-0000-000001090000}"/>
    <cellStyle name="Input 2 15 20 2" xfId="3286" xr:uid="{00000000-0005-0000-0000-000002090000}"/>
    <cellStyle name="Input 2 15 20 3" xfId="5184" xr:uid="{00000000-0005-0000-0000-000003090000}"/>
    <cellStyle name="Input 2 15 21" xfId="895" xr:uid="{00000000-0005-0000-0000-000004090000}"/>
    <cellStyle name="Input 2 15 21 2" xfId="3287" xr:uid="{00000000-0005-0000-0000-000005090000}"/>
    <cellStyle name="Input 2 15 21 3" xfId="5185" xr:uid="{00000000-0005-0000-0000-000006090000}"/>
    <cellStyle name="Input 2 15 22" xfId="896" xr:uid="{00000000-0005-0000-0000-000007090000}"/>
    <cellStyle name="Input 2 15 22 2" xfId="3288" xr:uid="{00000000-0005-0000-0000-000008090000}"/>
    <cellStyle name="Input 2 15 22 3" xfId="5186" xr:uid="{00000000-0005-0000-0000-000009090000}"/>
    <cellStyle name="Input 2 15 23" xfId="897" xr:uid="{00000000-0005-0000-0000-00000A090000}"/>
    <cellStyle name="Input 2 15 23 2" xfId="3289" xr:uid="{00000000-0005-0000-0000-00000B090000}"/>
    <cellStyle name="Input 2 15 23 3" xfId="5187" xr:uid="{00000000-0005-0000-0000-00000C090000}"/>
    <cellStyle name="Input 2 15 24" xfId="3274" xr:uid="{00000000-0005-0000-0000-00000D090000}"/>
    <cellStyle name="Input 2 15 25" xfId="5172" xr:uid="{00000000-0005-0000-0000-00000E090000}"/>
    <cellStyle name="Input 2 15 3" xfId="898" xr:uid="{00000000-0005-0000-0000-00000F090000}"/>
    <cellStyle name="Input 2 15 3 2" xfId="3290" xr:uid="{00000000-0005-0000-0000-000010090000}"/>
    <cellStyle name="Input 2 15 3 3" xfId="5188" xr:uid="{00000000-0005-0000-0000-000011090000}"/>
    <cellStyle name="Input 2 15 4" xfId="899" xr:uid="{00000000-0005-0000-0000-000012090000}"/>
    <cellStyle name="Input 2 15 4 2" xfId="3291" xr:uid="{00000000-0005-0000-0000-000013090000}"/>
    <cellStyle name="Input 2 15 4 3" xfId="5189" xr:uid="{00000000-0005-0000-0000-000014090000}"/>
    <cellStyle name="Input 2 15 5" xfId="900" xr:uid="{00000000-0005-0000-0000-000015090000}"/>
    <cellStyle name="Input 2 15 5 2" xfId="3292" xr:uid="{00000000-0005-0000-0000-000016090000}"/>
    <cellStyle name="Input 2 15 5 3" xfId="5190" xr:uid="{00000000-0005-0000-0000-000017090000}"/>
    <cellStyle name="Input 2 15 6" xfId="901" xr:uid="{00000000-0005-0000-0000-000018090000}"/>
    <cellStyle name="Input 2 15 6 2" xfId="3293" xr:uid="{00000000-0005-0000-0000-000019090000}"/>
    <cellStyle name="Input 2 15 6 3" xfId="5191" xr:uid="{00000000-0005-0000-0000-00001A090000}"/>
    <cellStyle name="Input 2 15 7" xfId="902" xr:uid="{00000000-0005-0000-0000-00001B090000}"/>
    <cellStyle name="Input 2 15 7 2" xfId="3294" xr:uid="{00000000-0005-0000-0000-00001C090000}"/>
    <cellStyle name="Input 2 15 7 3" xfId="5192" xr:uid="{00000000-0005-0000-0000-00001D090000}"/>
    <cellStyle name="Input 2 15 8" xfId="903" xr:uid="{00000000-0005-0000-0000-00001E090000}"/>
    <cellStyle name="Input 2 15 8 2" xfId="3295" xr:uid="{00000000-0005-0000-0000-00001F090000}"/>
    <cellStyle name="Input 2 15 8 3" xfId="5193" xr:uid="{00000000-0005-0000-0000-000020090000}"/>
    <cellStyle name="Input 2 15 9" xfId="904" xr:uid="{00000000-0005-0000-0000-000021090000}"/>
    <cellStyle name="Input 2 15 9 2" xfId="3296" xr:uid="{00000000-0005-0000-0000-000022090000}"/>
    <cellStyle name="Input 2 15 9 3" xfId="5194" xr:uid="{00000000-0005-0000-0000-000023090000}"/>
    <cellStyle name="Input 2 16" xfId="905" xr:uid="{00000000-0005-0000-0000-000024090000}"/>
    <cellStyle name="Input 2 16 2" xfId="3297" xr:uid="{00000000-0005-0000-0000-000025090000}"/>
    <cellStyle name="Input 2 16 3" xfId="5195" xr:uid="{00000000-0005-0000-0000-000026090000}"/>
    <cellStyle name="Input 2 17" xfId="906" xr:uid="{00000000-0005-0000-0000-000027090000}"/>
    <cellStyle name="Input 2 17 2" xfId="3298" xr:uid="{00000000-0005-0000-0000-000028090000}"/>
    <cellStyle name="Input 2 17 3" xfId="5196" xr:uid="{00000000-0005-0000-0000-000029090000}"/>
    <cellStyle name="Input 2 18" xfId="907" xr:uid="{00000000-0005-0000-0000-00002A090000}"/>
    <cellStyle name="Input 2 18 2" xfId="3299" xr:uid="{00000000-0005-0000-0000-00002B090000}"/>
    <cellStyle name="Input 2 18 3" xfId="5197" xr:uid="{00000000-0005-0000-0000-00002C090000}"/>
    <cellStyle name="Input 2 19" xfId="908" xr:uid="{00000000-0005-0000-0000-00002D090000}"/>
    <cellStyle name="Input 2 19 2" xfId="3300" xr:uid="{00000000-0005-0000-0000-00002E090000}"/>
    <cellStyle name="Input 2 19 3" xfId="5198" xr:uid="{00000000-0005-0000-0000-00002F090000}"/>
    <cellStyle name="Input 2 2" xfId="909" xr:uid="{00000000-0005-0000-0000-000030090000}"/>
    <cellStyle name="Input 2 2 10" xfId="910" xr:uid="{00000000-0005-0000-0000-000031090000}"/>
    <cellStyle name="Input 2 2 10 2" xfId="3302" xr:uid="{00000000-0005-0000-0000-000032090000}"/>
    <cellStyle name="Input 2 2 10 3" xfId="5200" xr:uid="{00000000-0005-0000-0000-000033090000}"/>
    <cellStyle name="Input 2 2 11" xfId="911" xr:uid="{00000000-0005-0000-0000-000034090000}"/>
    <cellStyle name="Input 2 2 11 2" xfId="3303" xr:uid="{00000000-0005-0000-0000-000035090000}"/>
    <cellStyle name="Input 2 2 11 3" xfId="5201" xr:uid="{00000000-0005-0000-0000-000036090000}"/>
    <cellStyle name="Input 2 2 12" xfId="912" xr:uid="{00000000-0005-0000-0000-000037090000}"/>
    <cellStyle name="Input 2 2 12 2" xfId="3304" xr:uid="{00000000-0005-0000-0000-000038090000}"/>
    <cellStyle name="Input 2 2 12 3" xfId="5202" xr:uid="{00000000-0005-0000-0000-000039090000}"/>
    <cellStyle name="Input 2 2 13" xfId="913" xr:uid="{00000000-0005-0000-0000-00003A090000}"/>
    <cellStyle name="Input 2 2 13 2" xfId="3305" xr:uid="{00000000-0005-0000-0000-00003B090000}"/>
    <cellStyle name="Input 2 2 13 3" xfId="5203" xr:uid="{00000000-0005-0000-0000-00003C090000}"/>
    <cellStyle name="Input 2 2 14" xfId="914" xr:uid="{00000000-0005-0000-0000-00003D090000}"/>
    <cellStyle name="Input 2 2 14 2" xfId="3306" xr:uid="{00000000-0005-0000-0000-00003E090000}"/>
    <cellStyle name="Input 2 2 14 3" xfId="5204" xr:uid="{00000000-0005-0000-0000-00003F090000}"/>
    <cellStyle name="Input 2 2 15" xfId="915" xr:uid="{00000000-0005-0000-0000-000040090000}"/>
    <cellStyle name="Input 2 2 15 2" xfId="3307" xr:uid="{00000000-0005-0000-0000-000041090000}"/>
    <cellStyle name="Input 2 2 15 3" xfId="5205" xr:uid="{00000000-0005-0000-0000-000042090000}"/>
    <cellStyle name="Input 2 2 16" xfId="916" xr:uid="{00000000-0005-0000-0000-000043090000}"/>
    <cellStyle name="Input 2 2 16 2" xfId="3308" xr:uid="{00000000-0005-0000-0000-000044090000}"/>
    <cellStyle name="Input 2 2 16 3" xfId="5206" xr:uid="{00000000-0005-0000-0000-000045090000}"/>
    <cellStyle name="Input 2 2 17" xfId="917" xr:uid="{00000000-0005-0000-0000-000046090000}"/>
    <cellStyle name="Input 2 2 17 2" xfId="3309" xr:uid="{00000000-0005-0000-0000-000047090000}"/>
    <cellStyle name="Input 2 2 17 3" xfId="5207" xr:uid="{00000000-0005-0000-0000-000048090000}"/>
    <cellStyle name="Input 2 2 18" xfId="918" xr:uid="{00000000-0005-0000-0000-000049090000}"/>
    <cellStyle name="Input 2 2 18 2" xfId="3310" xr:uid="{00000000-0005-0000-0000-00004A090000}"/>
    <cellStyle name="Input 2 2 18 3" xfId="5208" xr:uid="{00000000-0005-0000-0000-00004B090000}"/>
    <cellStyle name="Input 2 2 19" xfId="919" xr:uid="{00000000-0005-0000-0000-00004C090000}"/>
    <cellStyle name="Input 2 2 19 2" xfId="3311" xr:uid="{00000000-0005-0000-0000-00004D090000}"/>
    <cellStyle name="Input 2 2 19 3" xfId="5209" xr:uid="{00000000-0005-0000-0000-00004E090000}"/>
    <cellStyle name="Input 2 2 2" xfId="920" xr:uid="{00000000-0005-0000-0000-00004F090000}"/>
    <cellStyle name="Input 2 2 2 2" xfId="3312" xr:uid="{00000000-0005-0000-0000-000050090000}"/>
    <cellStyle name="Input 2 2 2 3" xfId="5210" xr:uid="{00000000-0005-0000-0000-000051090000}"/>
    <cellStyle name="Input 2 2 20" xfId="921" xr:uid="{00000000-0005-0000-0000-000052090000}"/>
    <cellStyle name="Input 2 2 20 2" xfId="3313" xr:uid="{00000000-0005-0000-0000-000053090000}"/>
    <cellStyle name="Input 2 2 20 3" xfId="5211" xr:uid="{00000000-0005-0000-0000-000054090000}"/>
    <cellStyle name="Input 2 2 21" xfId="922" xr:uid="{00000000-0005-0000-0000-000055090000}"/>
    <cellStyle name="Input 2 2 21 2" xfId="3314" xr:uid="{00000000-0005-0000-0000-000056090000}"/>
    <cellStyle name="Input 2 2 21 3" xfId="5212" xr:uid="{00000000-0005-0000-0000-000057090000}"/>
    <cellStyle name="Input 2 2 22" xfId="923" xr:uid="{00000000-0005-0000-0000-000058090000}"/>
    <cellStyle name="Input 2 2 22 2" xfId="3315" xr:uid="{00000000-0005-0000-0000-000059090000}"/>
    <cellStyle name="Input 2 2 22 3" xfId="5213" xr:uid="{00000000-0005-0000-0000-00005A090000}"/>
    <cellStyle name="Input 2 2 23" xfId="924" xr:uid="{00000000-0005-0000-0000-00005B090000}"/>
    <cellStyle name="Input 2 2 23 2" xfId="3316" xr:uid="{00000000-0005-0000-0000-00005C090000}"/>
    <cellStyle name="Input 2 2 23 3" xfId="5214" xr:uid="{00000000-0005-0000-0000-00005D090000}"/>
    <cellStyle name="Input 2 2 24" xfId="3301" xr:uid="{00000000-0005-0000-0000-00005E090000}"/>
    <cellStyle name="Input 2 2 25" xfId="5199" xr:uid="{00000000-0005-0000-0000-00005F090000}"/>
    <cellStyle name="Input 2 2 3" xfId="925" xr:uid="{00000000-0005-0000-0000-000060090000}"/>
    <cellStyle name="Input 2 2 3 2" xfId="3317" xr:uid="{00000000-0005-0000-0000-000061090000}"/>
    <cellStyle name="Input 2 2 3 3" xfId="5215" xr:uid="{00000000-0005-0000-0000-000062090000}"/>
    <cellStyle name="Input 2 2 4" xfId="926" xr:uid="{00000000-0005-0000-0000-000063090000}"/>
    <cellStyle name="Input 2 2 4 2" xfId="3318" xr:uid="{00000000-0005-0000-0000-000064090000}"/>
    <cellStyle name="Input 2 2 4 3" xfId="5216" xr:uid="{00000000-0005-0000-0000-000065090000}"/>
    <cellStyle name="Input 2 2 5" xfId="927" xr:uid="{00000000-0005-0000-0000-000066090000}"/>
    <cellStyle name="Input 2 2 5 2" xfId="3319" xr:uid="{00000000-0005-0000-0000-000067090000}"/>
    <cellStyle name="Input 2 2 5 3" xfId="5217" xr:uid="{00000000-0005-0000-0000-000068090000}"/>
    <cellStyle name="Input 2 2 6" xfId="928" xr:uid="{00000000-0005-0000-0000-000069090000}"/>
    <cellStyle name="Input 2 2 6 2" xfId="3320" xr:uid="{00000000-0005-0000-0000-00006A090000}"/>
    <cellStyle name="Input 2 2 6 3" xfId="5218" xr:uid="{00000000-0005-0000-0000-00006B090000}"/>
    <cellStyle name="Input 2 2 7" xfId="929" xr:uid="{00000000-0005-0000-0000-00006C090000}"/>
    <cellStyle name="Input 2 2 7 2" xfId="3321" xr:uid="{00000000-0005-0000-0000-00006D090000}"/>
    <cellStyle name="Input 2 2 7 3" xfId="5219" xr:uid="{00000000-0005-0000-0000-00006E090000}"/>
    <cellStyle name="Input 2 2 8" xfId="930" xr:uid="{00000000-0005-0000-0000-00006F090000}"/>
    <cellStyle name="Input 2 2 8 2" xfId="3322" xr:uid="{00000000-0005-0000-0000-000070090000}"/>
    <cellStyle name="Input 2 2 8 3" xfId="5220" xr:uid="{00000000-0005-0000-0000-000071090000}"/>
    <cellStyle name="Input 2 2 9" xfId="931" xr:uid="{00000000-0005-0000-0000-000072090000}"/>
    <cellStyle name="Input 2 2 9 2" xfId="3323" xr:uid="{00000000-0005-0000-0000-000073090000}"/>
    <cellStyle name="Input 2 2 9 3" xfId="5221" xr:uid="{00000000-0005-0000-0000-000074090000}"/>
    <cellStyle name="Input 2 20" xfId="932" xr:uid="{00000000-0005-0000-0000-000075090000}"/>
    <cellStyle name="Input 2 20 2" xfId="3324" xr:uid="{00000000-0005-0000-0000-000076090000}"/>
    <cellStyle name="Input 2 20 3" xfId="5222" xr:uid="{00000000-0005-0000-0000-000077090000}"/>
    <cellStyle name="Input 2 21" xfId="933" xr:uid="{00000000-0005-0000-0000-000078090000}"/>
    <cellStyle name="Input 2 21 2" xfId="3325" xr:uid="{00000000-0005-0000-0000-000079090000}"/>
    <cellStyle name="Input 2 21 3" xfId="5223" xr:uid="{00000000-0005-0000-0000-00007A090000}"/>
    <cellStyle name="Input 2 22" xfId="934" xr:uid="{00000000-0005-0000-0000-00007B090000}"/>
    <cellStyle name="Input 2 22 2" xfId="3326" xr:uid="{00000000-0005-0000-0000-00007C090000}"/>
    <cellStyle name="Input 2 22 3" xfId="5224" xr:uid="{00000000-0005-0000-0000-00007D090000}"/>
    <cellStyle name="Input 2 23" xfId="935" xr:uid="{00000000-0005-0000-0000-00007E090000}"/>
    <cellStyle name="Input 2 23 2" xfId="3327" xr:uid="{00000000-0005-0000-0000-00007F090000}"/>
    <cellStyle name="Input 2 23 3" xfId="5225" xr:uid="{00000000-0005-0000-0000-000080090000}"/>
    <cellStyle name="Input 2 24" xfId="936" xr:uid="{00000000-0005-0000-0000-000081090000}"/>
    <cellStyle name="Input 2 24 2" xfId="3328" xr:uid="{00000000-0005-0000-0000-000082090000}"/>
    <cellStyle name="Input 2 24 3" xfId="5226" xr:uid="{00000000-0005-0000-0000-000083090000}"/>
    <cellStyle name="Input 2 25" xfId="937" xr:uid="{00000000-0005-0000-0000-000084090000}"/>
    <cellStyle name="Input 2 25 2" xfId="3329" xr:uid="{00000000-0005-0000-0000-000085090000}"/>
    <cellStyle name="Input 2 25 3" xfId="5227" xr:uid="{00000000-0005-0000-0000-000086090000}"/>
    <cellStyle name="Input 2 26" xfId="938" xr:uid="{00000000-0005-0000-0000-000087090000}"/>
    <cellStyle name="Input 2 26 2" xfId="3330" xr:uid="{00000000-0005-0000-0000-000088090000}"/>
    <cellStyle name="Input 2 26 3" xfId="5228" xr:uid="{00000000-0005-0000-0000-000089090000}"/>
    <cellStyle name="Input 2 27" xfId="939" xr:uid="{00000000-0005-0000-0000-00008A090000}"/>
    <cellStyle name="Input 2 27 2" xfId="3331" xr:uid="{00000000-0005-0000-0000-00008B090000}"/>
    <cellStyle name="Input 2 27 3" xfId="5229" xr:uid="{00000000-0005-0000-0000-00008C090000}"/>
    <cellStyle name="Input 2 28" xfId="940" xr:uid="{00000000-0005-0000-0000-00008D090000}"/>
    <cellStyle name="Input 2 28 2" xfId="3332" xr:uid="{00000000-0005-0000-0000-00008E090000}"/>
    <cellStyle name="Input 2 28 3" xfId="5230" xr:uid="{00000000-0005-0000-0000-00008F090000}"/>
    <cellStyle name="Input 2 29" xfId="941" xr:uid="{00000000-0005-0000-0000-000090090000}"/>
    <cellStyle name="Input 2 29 2" xfId="3333" xr:uid="{00000000-0005-0000-0000-000091090000}"/>
    <cellStyle name="Input 2 29 3" xfId="5231" xr:uid="{00000000-0005-0000-0000-000092090000}"/>
    <cellStyle name="Input 2 3" xfId="942" xr:uid="{00000000-0005-0000-0000-000093090000}"/>
    <cellStyle name="Input 2 3 10" xfId="943" xr:uid="{00000000-0005-0000-0000-000094090000}"/>
    <cellStyle name="Input 2 3 10 2" xfId="3335" xr:uid="{00000000-0005-0000-0000-000095090000}"/>
    <cellStyle name="Input 2 3 10 3" xfId="5233" xr:uid="{00000000-0005-0000-0000-000096090000}"/>
    <cellStyle name="Input 2 3 11" xfId="944" xr:uid="{00000000-0005-0000-0000-000097090000}"/>
    <cellStyle name="Input 2 3 11 2" xfId="3336" xr:uid="{00000000-0005-0000-0000-000098090000}"/>
    <cellStyle name="Input 2 3 11 3" xfId="5234" xr:uid="{00000000-0005-0000-0000-000099090000}"/>
    <cellStyle name="Input 2 3 12" xfId="945" xr:uid="{00000000-0005-0000-0000-00009A090000}"/>
    <cellStyle name="Input 2 3 12 2" xfId="3337" xr:uid="{00000000-0005-0000-0000-00009B090000}"/>
    <cellStyle name="Input 2 3 12 3" xfId="5235" xr:uid="{00000000-0005-0000-0000-00009C090000}"/>
    <cellStyle name="Input 2 3 13" xfId="946" xr:uid="{00000000-0005-0000-0000-00009D090000}"/>
    <cellStyle name="Input 2 3 13 2" xfId="3338" xr:uid="{00000000-0005-0000-0000-00009E090000}"/>
    <cellStyle name="Input 2 3 13 3" xfId="5236" xr:uid="{00000000-0005-0000-0000-00009F090000}"/>
    <cellStyle name="Input 2 3 14" xfId="947" xr:uid="{00000000-0005-0000-0000-0000A0090000}"/>
    <cellStyle name="Input 2 3 14 2" xfId="3339" xr:uid="{00000000-0005-0000-0000-0000A1090000}"/>
    <cellStyle name="Input 2 3 14 3" xfId="5237" xr:uid="{00000000-0005-0000-0000-0000A2090000}"/>
    <cellStyle name="Input 2 3 15" xfId="948" xr:uid="{00000000-0005-0000-0000-0000A3090000}"/>
    <cellStyle name="Input 2 3 15 2" xfId="3340" xr:uid="{00000000-0005-0000-0000-0000A4090000}"/>
    <cellStyle name="Input 2 3 15 3" xfId="5238" xr:uid="{00000000-0005-0000-0000-0000A5090000}"/>
    <cellStyle name="Input 2 3 16" xfId="949" xr:uid="{00000000-0005-0000-0000-0000A6090000}"/>
    <cellStyle name="Input 2 3 16 2" xfId="3341" xr:uid="{00000000-0005-0000-0000-0000A7090000}"/>
    <cellStyle name="Input 2 3 16 3" xfId="5239" xr:uid="{00000000-0005-0000-0000-0000A8090000}"/>
    <cellStyle name="Input 2 3 17" xfId="950" xr:uid="{00000000-0005-0000-0000-0000A9090000}"/>
    <cellStyle name="Input 2 3 17 2" xfId="3342" xr:uid="{00000000-0005-0000-0000-0000AA090000}"/>
    <cellStyle name="Input 2 3 17 3" xfId="5240" xr:uid="{00000000-0005-0000-0000-0000AB090000}"/>
    <cellStyle name="Input 2 3 18" xfId="951" xr:uid="{00000000-0005-0000-0000-0000AC090000}"/>
    <cellStyle name="Input 2 3 18 2" xfId="3343" xr:uid="{00000000-0005-0000-0000-0000AD090000}"/>
    <cellStyle name="Input 2 3 18 3" xfId="5241" xr:uid="{00000000-0005-0000-0000-0000AE090000}"/>
    <cellStyle name="Input 2 3 19" xfId="952" xr:uid="{00000000-0005-0000-0000-0000AF090000}"/>
    <cellStyle name="Input 2 3 19 2" xfId="3344" xr:uid="{00000000-0005-0000-0000-0000B0090000}"/>
    <cellStyle name="Input 2 3 19 3" xfId="5242" xr:uid="{00000000-0005-0000-0000-0000B1090000}"/>
    <cellStyle name="Input 2 3 2" xfId="953" xr:uid="{00000000-0005-0000-0000-0000B2090000}"/>
    <cellStyle name="Input 2 3 2 2" xfId="3345" xr:uid="{00000000-0005-0000-0000-0000B3090000}"/>
    <cellStyle name="Input 2 3 2 3" xfId="5243" xr:uid="{00000000-0005-0000-0000-0000B4090000}"/>
    <cellStyle name="Input 2 3 20" xfId="954" xr:uid="{00000000-0005-0000-0000-0000B5090000}"/>
    <cellStyle name="Input 2 3 20 2" xfId="3346" xr:uid="{00000000-0005-0000-0000-0000B6090000}"/>
    <cellStyle name="Input 2 3 20 3" xfId="5244" xr:uid="{00000000-0005-0000-0000-0000B7090000}"/>
    <cellStyle name="Input 2 3 21" xfId="955" xr:uid="{00000000-0005-0000-0000-0000B8090000}"/>
    <cellStyle name="Input 2 3 21 2" xfId="3347" xr:uid="{00000000-0005-0000-0000-0000B9090000}"/>
    <cellStyle name="Input 2 3 21 3" xfId="5245" xr:uid="{00000000-0005-0000-0000-0000BA090000}"/>
    <cellStyle name="Input 2 3 22" xfId="956" xr:uid="{00000000-0005-0000-0000-0000BB090000}"/>
    <cellStyle name="Input 2 3 22 2" xfId="3348" xr:uid="{00000000-0005-0000-0000-0000BC090000}"/>
    <cellStyle name="Input 2 3 22 3" xfId="5246" xr:uid="{00000000-0005-0000-0000-0000BD090000}"/>
    <cellStyle name="Input 2 3 23" xfId="957" xr:uid="{00000000-0005-0000-0000-0000BE090000}"/>
    <cellStyle name="Input 2 3 23 2" xfId="3349" xr:uid="{00000000-0005-0000-0000-0000BF090000}"/>
    <cellStyle name="Input 2 3 23 3" xfId="5247" xr:uid="{00000000-0005-0000-0000-0000C0090000}"/>
    <cellStyle name="Input 2 3 24" xfId="3334" xr:uid="{00000000-0005-0000-0000-0000C1090000}"/>
    <cellStyle name="Input 2 3 25" xfId="5232" xr:uid="{00000000-0005-0000-0000-0000C2090000}"/>
    <cellStyle name="Input 2 3 3" xfId="958" xr:uid="{00000000-0005-0000-0000-0000C3090000}"/>
    <cellStyle name="Input 2 3 3 2" xfId="3350" xr:uid="{00000000-0005-0000-0000-0000C4090000}"/>
    <cellStyle name="Input 2 3 3 3" xfId="5248" xr:uid="{00000000-0005-0000-0000-0000C5090000}"/>
    <cellStyle name="Input 2 3 4" xfId="959" xr:uid="{00000000-0005-0000-0000-0000C6090000}"/>
    <cellStyle name="Input 2 3 4 2" xfId="3351" xr:uid="{00000000-0005-0000-0000-0000C7090000}"/>
    <cellStyle name="Input 2 3 4 3" xfId="5249" xr:uid="{00000000-0005-0000-0000-0000C8090000}"/>
    <cellStyle name="Input 2 3 5" xfId="960" xr:uid="{00000000-0005-0000-0000-0000C9090000}"/>
    <cellStyle name="Input 2 3 5 2" xfId="3352" xr:uid="{00000000-0005-0000-0000-0000CA090000}"/>
    <cellStyle name="Input 2 3 5 3" xfId="5250" xr:uid="{00000000-0005-0000-0000-0000CB090000}"/>
    <cellStyle name="Input 2 3 6" xfId="961" xr:uid="{00000000-0005-0000-0000-0000CC090000}"/>
    <cellStyle name="Input 2 3 6 2" xfId="3353" xr:uid="{00000000-0005-0000-0000-0000CD090000}"/>
    <cellStyle name="Input 2 3 6 3" xfId="5251" xr:uid="{00000000-0005-0000-0000-0000CE090000}"/>
    <cellStyle name="Input 2 3 7" xfId="962" xr:uid="{00000000-0005-0000-0000-0000CF090000}"/>
    <cellStyle name="Input 2 3 7 2" xfId="3354" xr:uid="{00000000-0005-0000-0000-0000D0090000}"/>
    <cellStyle name="Input 2 3 7 3" xfId="5252" xr:uid="{00000000-0005-0000-0000-0000D1090000}"/>
    <cellStyle name="Input 2 3 8" xfId="963" xr:uid="{00000000-0005-0000-0000-0000D2090000}"/>
    <cellStyle name="Input 2 3 8 2" xfId="3355" xr:uid="{00000000-0005-0000-0000-0000D3090000}"/>
    <cellStyle name="Input 2 3 8 3" xfId="5253" xr:uid="{00000000-0005-0000-0000-0000D4090000}"/>
    <cellStyle name="Input 2 3 9" xfId="964" xr:uid="{00000000-0005-0000-0000-0000D5090000}"/>
    <cellStyle name="Input 2 3 9 2" xfId="3356" xr:uid="{00000000-0005-0000-0000-0000D6090000}"/>
    <cellStyle name="Input 2 3 9 3" xfId="5254" xr:uid="{00000000-0005-0000-0000-0000D7090000}"/>
    <cellStyle name="Input 2 30" xfId="965" xr:uid="{00000000-0005-0000-0000-0000D8090000}"/>
    <cellStyle name="Input 2 30 2" xfId="3357" xr:uid="{00000000-0005-0000-0000-0000D9090000}"/>
    <cellStyle name="Input 2 30 3" xfId="5255" xr:uid="{00000000-0005-0000-0000-0000DA090000}"/>
    <cellStyle name="Input 2 31" xfId="966" xr:uid="{00000000-0005-0000-0000-0000DB090000}"/>
    <cellStyle name="Input 2 31 2" xfId="3358" xr:uid="{00000000-0005-0000-0000-0000DC090000}"/>
    <cellStyle name="Input 2 31 3" xfId="5256" xr:uid="{00000000-0005-0000-0000-0000DD090000}"/>
    <cellStyle name="Input 2 32" xfId="967" xr:uid="{00000000-0005-0000-0000-0000DE090000}"/>
    <cellStyle name="Input 2 32 2" xfId="3359" xr:uid="{00000000-0005-0000-0000-0000DF090000}"/>
    <cellStyle name="Input 2 32 3" xfId="5257" xr:uid="{00000000-0005-0000-0000-0000E0090000}"/>
    <cellStyle name="Input 2 33" xfId="968" xr:uid="{00000000-0005-0000-0000-0000E1090000}"/>
    <cellStyle name="Input 2 33 2" xfId="3360" xr:uid="{00000000-0005-0000-0000-0000E2090000}"/>
    <cellStyle name="Input 2 33 3" xfId="5258" xr:uid="{00000000-0005-0000-0000-0000E3090000}"/>
    <cellStyle name="Input 2 34" xfId="969" xr:uid="{00000000-0005-0000-0000-0000E4090000}"/>
    <cellStyle name="Input 2 34 2" xfId="3361" xr:uid="{00000000-0005-0000-0000-0000E5090000}"/>
    <cellStyle name="Input 2 34 3" xfId="5259" xr:uid="{00000000-0005-0000-0000-0000E6090000}"/>
    <cellStyle name="Input 2 35" xfId="970" xr:uid="{00000000-0005-0000-0000-0000E7090000}"/>
    <cellStyle name="Input 2 35 2" xfId="3362" xr:uid="{00000000-0005-0000-0000-0000E8090000}"/>
    <cellStyle name="Input 2 35 3" xfId="5260" xr:uid="{00000000-0005-0000-0000-0000E9090000}"/>
    <cellStyle name="Input 2 36" xfId="971" xr:uid="{00000000-0005-0000-0000-0000EA090000}"/>
    <cellStyle name="Input 2 36 2" xfId="3363" xr:uid="{00000000-0005-0000-0000-0000EB090000}"/>
    <cellStyle name="Input 2 36 3" xfId="5261" xr:uid="{00000000-0005-0000-0000-0000EC090000}"/>
    <cellStyle name="Input 2 37" xfId="972" xr:uid="{00000000-0005-0000-0000-0000ED090000}"/>
    <cellStyle name="Input 2 37 2" xfId="3364" xr:uid="{00000000-0005-0000-0000-0000EE090000}"/>
    <cellStyle name="Input 2 37 3" xfId="5262" xr:uid="{00000000-0005-0000-0000-0000EF090000}"/>
    <cellStyle name="Input 2 38" xfId="3158" xr:uid="{00000000-0005-0000-0000-0000F0090000}"/>
    <cellStyle name="Input 2 39" xfId="5056" xr:uid="{00000000-0005-0000-0000-0000F1090000}"/>
    <cellStyle name="Input 2 4" xfId="973" xr:uid="{00000000-0005-0000-0000-0000F2090000}"/>
    <cellStyle name="Input 2 4 10" xfId="974" xr:uid="{00000000-0005-0000-0000-0000F3090000}"/>
    <cellStyle name="Input 2 4 10 2" xfId="3366" xr:uid="{00000000-0005-0000-0000-0000F4090000}"/>
    <cellStyle name="Input 2 4 10 3" xfId="5264" xr:uid="{00000000-0005-0000-0000-0000F5090000}"/>
    <cellStyle name="Input 2 4 11" xfId="975" xr:uid="{00000000-0005-0000-0000-0000F6090000}"/>
    <cellStyle name="Input 2 4 11 2" xfId="3367" xr:uid="{00000000-0005-0000-0000-0000F7090000}"/>
    <cellStyle name="Input 2 4 11 3" xfId="5265" xr:uid="{00000000-0005-0000-0000-0000F8090000}"/>
    <cellStyle name="Input 2 4 12" xfId="976" xr:uid="{00000000-0005-0000-0000-0000F9090000}"/>
    <cellStyle name="Input 2 4 12 2" xfId="3368" xr:uid="{00000000-0005-0000-0000-0000FA090000}"/>
    <cellStyle name="Input 2 4 12 3" xfId="5266" xr:uid="{00000000-0005-0000-0000-0000FB090000}"/>
    <cellStyle name="Input 2 4 13" xfId="977" xr:uid="{00000000-0005-0000-0000-0000FC090000}"/>
    <cellStyle name="Input 2 4 13 2" xfId="3369" xr:uid="{00000000-0005-0000-0000-0000FD090000}"/>
    <cellStyle name="Input 2 4 13 3" xfId="5267" xr:uid="{00000000-0005-0000-0000-0000FE090000}"/>
    <cellStyle name="Input 2 4 14" xfId="978" xr:uid="{00000000-0005-0000-0000-0000FF090000}"/>
    <cellStyle name="Input 2 4 14 2" xfId="3370" xr:uid="{00000000-0005-0000-0000-0000000A0000}"/>
    <cellStyle name="Input 2 4 14 3" xfId="5268" xr:uid="{00000000-0005-0000-0000-0000010A0000}"/>
    <cellStyle name="Input 2 4 15" xfId="979" xr:uid="{00000000-0005-0000-0000-0000020A0000}"/>
    <cellStyle name="Input 2 4 15 2" xfId="3371" xr:uid="{00000000-0005-0000-0000-0000030A0000}"/>
    <cellStyle name="Input 2 4 15 3" xfId="5269" xr:uid="{00000000-0005-0000-0000-0000040A0000}"/>
    <cellStyle name="Input 2 4 16" xfId="980" xr:uid="{00000000-0005-0000-0000-0000050A0000}"/>
    <cellStyle name="Input 2 4 16 2" xfId="3372" xr:uid="{00000000-0005-0000-0000-0000060A0000}"/>
    <cellStyle name="Input 2 4 16 3" xfId="5270" xr:uid="{00000000-0005-0000-0000-0000070A0000}"/>
    <cellStyle name="Input 2 4 17" xfId="981" xr:uid="{00000000-0005-0000-0000-0000080A0000}"/>
    <cellStyle name="Input 2 4 17 2" xfId="3373" xr:uid="{00000000-0005-0000-0000-0000090A0000}"/>
    <cellStyle name="Input 2 4 17 3" xfId="5271" xr:uid="{00000000-0005-0000-0000-00000A0A0000}"/>
    <cellStyle name="Input 2 4 18" xfId="982" xr:uid="{00000000-0005-0000-0000-00000B0A0000}"/>
    <cellStyle name="Input 2 4 18 2" xfId="3374" xr:uid="{00000000-0005-0000-0000-00000C0A0000}"/>
    <cellStyle name="Input 2 4 18 3" xfId="5272" xr:uid="{00000000-0005-0000-0000-00000D0A0000}"/>
    <cellStyle name="Input 2 4 19" xfId="983" xr:uid="{00000000-0005-0000-0000-00000E0A0000}"/>
    <cellStyle name="Input 2 4 19 2" xfId="3375" xr:uid="{00000000-0005-0000-0000-00000F0A0000}"/>
    <cellStyle name="Input 2 4 19 3" xfId="5273" xr:uid="{00000000-0005-0000-0000-0000100A0000}"/>
    <cellStyle name="Input 2 4 2" xfId="984" xr:uid="{00000000-0005-0000-0000-0000110A0000}"/>
    <cellStyle name="Input 2 4 2 2" xfId="3376" xr:uid="{00000000-0005-0000-0000-0000120A0000}"/>
    <cellStyle name="Input 2 4 2 3" xfId="5274" xr:uid="{00000000-0005-0000-0000-0000130A0000}"/>
    <cellStyle name="Input 2 4 20" xfId="985" xr:uid="{00000000-0005-0000-0000-0000140A0000}"/>
    <cellStyle name="Input 2 4 20 2" xfId="3377" xr:uid="{00000000-0005-0000-0000-0000150A0000}"/>
    <cellStyle name="Input 2 4 20 3" xfId="5275" xr:uid="{00000000-0005-0000-0000-0000160A0000}"/>
    <cellStyle name="Input 2 4 21" xfId="986" xr:uid="{00000000-0005-0000-0000-0000170A0000}"/>
    <cellStyle name="Input 2 4 21 2" xfId="3378" xr:uid="{00000000-0005-0000-0000-0000180A0000}"/>
    <cellStyle name="Input 2 4 21 3" xfId="5276" xr:uid="{00000000-0005-0000-0000-0000190A0000}"/>
    <cellStyle name="Input 2 4 22" xfId="987" xr:uid="{00000000-0005-0000-0000-00001A0A0000}"/>
    <cellStyle name="Input 2 4 22 2" xfId="3379" xr:uid="{00000000-0005-0000-0000-00001B0A0000}"/>
    <cellStyle name="Input 2 4 22 3" xfId="5277" xr:uid="{00000000-0005-0000-0000-00001C0A0000}"/>
    <cellStyle name="Input 2 4 23" xfId="988" xr:uid="{00000000-0005-0000-0000-00001D0A0000}"/>
    <cellStyle name="Input 2 4 23 2" xfId="3380" xr:uid="{00000000-0005-0000-0000-00001E0A0000}"/>
    <cellStyle name="Input 2 4 23 3" xfId="5278" xr:uid="{00000000-0005-0000-0000-00001F0A0000}"/>
    <cellStyle name="Input 2 4 24" xfId="3365" xr:uid="{00000000-0005-0000-0000-0000200A0000}"/>
    <cellStyle name="Input 2 4 25" xfId="5263" xr:uid="{00000000-0005-0000-0000-0000210A0000}"/>
    <cellStyle name="Input 2 4 3" xfId="989" xr:uid="{00000000-0005-0000-0000-0000220A0000}"/>
    <cellStyle name="Input 2 4 3 2" xfId="3381" xr:uid="{00000000-0005-0000-0000-0000230A0000}"/>
    <cellStyle name="Input 2 4 3 3" xfId="5279" xr:uid="{00000000-0005-0000-0000-0000240A0000}"/>
    <cellStyle name="Input 2 4 4" xfId="990" xr:uid="{00000000-0005-0000-0000-0000250A0000}"/>
    <cellStyle name="Input 2 4 4 2" xfId="3382" xr:uid="{00000000-0005-0000-0000-0000260A0000}"/>
    <cellStyle name="Input 2 4 4 3" xfId="5280" xr:uid="{00000000-0005-0000-0000-0000270A0000}"/>
    <cellStyle name="Input 2 4 5" xfId="991" xr:uid="{00000000-0005-0000-0000-0000280A0000}"/>
    <cellStyle name="Input 2 4 5 2" xfId="3383" xr:uid="{00000000-0005-0000-0000-0000290A0000}"/>
    <cellStyle name="Input 2 4 5 3" xfId="5281" xr:uid="{00000000-0005-0000-0000-00002A0A0000}"/>
    <cellStyle name="Input 2 4 6" xfId="992" xr:uid="{00000000-0005-0000-0000-00002B0A0000}"/>
    <cellStyle name="Input 2 4 6 2" xfId="3384" xr:uid="{00000000-0005-0000-0000-00002C0A0000}"/>
    <cellStyle name="Input 2 4 6 3" xfId="5282" xr:uid="{00000000-0005-0000-0000-00002D0A0000}"/>
    <cellStyle name="Input 2 4 7" xfId="993" xr:uid="{00000000-0005-0000-0000-00002E0A0000}"/>
    <cellStyle name="Input 2 4 7 2" xfId="3385" xr:uid="{00000000-0005-0000-0000-00002F0A0000}"/>
    <cellStyle name="Input 2 4 7 3" xfId="5283" xr:uid="{00000000-0005-0000-0000-0000300A0000}"/>
    <cellStyle name="Input 2 4 8" xfId="994" xr:uid="{00000000-0005-0000-0000-0000310A0000}"/>
    <cellStyle name="Input 2 4 8 2" xfId="3386" xr:uid="{00000000-0005-0000-0000-0000320A0000}"/>
    <cellStyle name="Input 2 4 8 3" xfId="5284" xr:uid="{00000000-0005-0000-0000-0000330A0000}"/>
    <cellStyle name="Input 2 4 9" xfId="995" xr:uid="{00000000-0005-0000-0000-0000340A0000}"/>
    <cellStyle name="Input 2 4 9 2" xfId="3387" xr:uid="{00000000-0005-0000-0000-0000350A0000}"/>
    <cellStyle name="Input 2 4 9 3" xfId="5285" xr:uid="{00000000-0005-0000-0000-0000360A0000}"/>
    <cellStyle name="Input 2 5" xfId="996" xr:uid="{00000000-0005-0000-0000-0000370A0000}"/>
    <cellStyle name="Input 2 5 10" xfId="997" xr:uid="{00000000-0005-0000-0000-0000380A0000}"/>
    <cellStyle name="Input 2 5 10 2" xfId="3389" xr:uid="{00000000-0005-0000-0000-0000390A0000}"/>
    <cellStyle name="Input 2 5 10 3" xfId="5287" xr:uid="{00000000-0005-0000-0000-00003A0A0000}"/>
    <cellStyle name="Input 2 5 11" xfId="998" xr:uid="{00000000-0005-0000-0000-00003B0A0000}"/>
    <cellStyle name="Input 2 5 11 2" xfId="3390" xr:uid="{00000000-0005-0000-0000-00003C0A0000}"/>
    <cellStyle name="Input 2 5 11 3" xfId="5288" xr:uid="{00000000-0005-0000-0000-00003D0A0000}"/>
    <cellStyle name="Input 2 5 12" xfId="999" xr:uid="{00000000-0005-0000-0000-00003E0A0000}"/>
    <cellStyle name="Input 2 5 12 2" xfId="3391" xr:uid="{00000000-0005-0000-0000-00003F0A0000}"/>
    <cellStyle name="Input 2 5 12 3" xfId="5289" xr:uid="{00000000-0005-0000-0000-0000400A0000}"/>
    <cellStyle name="Input 2 5 13" xfId="1000" xr:uid="{00000000-0005-0000-0000-0000410A0000}"/>
    <cellStyle name="Input 2 5 13 2" xfId="3392" xr:uid="{00000000-0005-0000-0000-0000420A0000}"/>
    <cellStyle name="Input 2 5 13 3" xfId="5290" xr:uid="{00000000-0005-0000-0000-0000430A0000}"/>
    <cellStyle name="Input 2 5 14" xfId="1001" xr:uid="{00000000-0005-0000-0000-0000440A0000}"/>
    <cellStyle name="Input 2 5 14 2" xfId="3393" xr:uid="{00000000-0005-0000-0000-0000450A0000}"/>
    <cellStyle name="Input 2 5 14 3" xfId="5291" xr:uid="{00000000-0005-0000-0000-0000460A0000}"/>
    <cellStyle name="Input 2 5 15" xfId="1002" xr:uid="{00000000-0005-0000-0000-0000470A0000}"/>
    <cellStyle name="Input 2 5 15 2" xfId="3394" xr:uid="{00000000-0005-0000-0000-0000480A0000}"/>
    <cellStyle name="Input 2 5 15 3" xfId="5292" xr:uid="{00000000-0005-0000-0000-0000490A0000}"/>
    <cellStyle name="Input 2 5 16" xfId="1003" xr:uid="{00000000-0005-0000-0000-00004A0A0000}"/>
    <cellStyle name="Input 2 5 16 2" xfId="3395" xr:uid="{00000000-0005-0000-0000-00004B0A0000}"/>
    <cellStyle name="Input 2 5 16 3" xfId="5293" xr:uid="{00000000-0005-0000-0000-00004C0A0000}"/>
    <cellStyle name="Input 2 5 17" xfId="1004" xr:uid="{00000000-0005-0000-0000-00004D0A0000}"/>
    <cellStyle name="Input 2 5 17 2" xfId="3396" xr:uid="{00000000-0005-0000-0000-00004E0A0000}"/>
    <cellStyle name="Input 2 5 17 3" xfId="5294" xr:uid="{00000000-0005-0000-0000-00004F0A0000}"/>
    <cellStyle name="Input 2 5 18" xfId="1005" xr:uid="{00000000-0005-0000-0000-0000500A0000}"/>
    <cellStyle name="Input 2 5 18 2" xfId="3397" xr:uid="{00000000-0005-0000-0000-0000510A0000}"/>
    <cellStyle name="Input 2 5 18 3" xfId="5295" xr:uid="{00000000-0005-0000-0000-0000520A0000}"/>
    <cellStyle name="Input 2 5 19" xfId="1006" xr:uid="{00000000-0005-0000-0000-0000530A0000}"/>
    <cellStyle name="Input 2 5 19 2" xfId="3398" xr:uid="{00000000-0005-0000-0000-0000540A0000}"/>
    <cellStyle name="Input 2 5 19 3" xfId="5296" xr:uid="{00000000-0005-0000-0000-0000550A0000}"/>
    <cellStyle name="Input 2 5 2" xfId="1007" xr:uid="{00000000-0005-0000-0000-0000560A0000}"/>
    <cellStyle name="Input 2 5 2 2" xfId="3399" xr:uid="{00000000-0005-0000-0000-0000570A0000}"/>
    <cellStyle name="Input 2 5 2 3" xfId="5297" xr:uid="{00000000-0005-0000-0000-0000580A0000}"/>
    <cellStyle name="Input 2 5 20" xfId="1008" xr:uid="{00000000-0005-0000-0000-0000590A0000}"/>
    <cellStyle name="Input 2 5 20 2" xfId="3400" xr:uid="{00000000-0005-0000-0000-00005A0A0000}"/>
    <cellStyle name="Input 2 5 20 3" xfId="5298" xr:uid="{00000000-0005-0000-0000-00005B0A0000}"/>
    <cellStyle name="Input 2 5 21" xfId="1009" xr:uid="{00000000-0005-0000-0000-00005C0A0000}"/>
    <cellStyle name="Input 2 5 21 2" xfId="3401" xr:uid="{00000000-0005-0000-0000-00005D0A0000}"/>
    <cellStyle name="Input 2 5 21 3" xfId="5299" xr:uid="{00000000-0005-0000-0000-00005E0A0000}"/>
    <cellStyle name="Input 2 5 22" xfId="1010" xr:uid="{00000000-0005-0000-0000-00005F0A0000}"/>
    <cellStyle name="Input 2 5 22 2" xfId="3402" xr:uid="{00000000-0005-0000-0000-0000600A0000}"/>
    <cellStyle name="Input 2 5 22 3" xfId="5300" xr:uid="{00000000-0005-0000-0000-0000610A0000}"/>
    <cellStyle name="Input 2 5 23" xfId="1011" xr:uid="{00000000-0005-0000-0000-0000620A0000}"/>
    <cellStyle name="Input 2 5 23 2" xfId="3403" xr:uid="{00000000-0005-0000-0000-0000630A0000}"/>
    <cellStyle name="Input 2 5 23 3" xfId="5301" xr:uid="{00000000-0005-0000-0000-0000640A0000}"/>
    <cellStyle name="Input 2 5 24" xfId="3388" xr:uid="{00000000-0005-0000-0000-0000650A0000}"/>
    <cellStyle name="Input 2 5 25" xfId="5286" xr:uid="{00000000-0005-0000-0000-0000660A0000}"/>
    <cellStyle name="Input 2 5 3" xfId="1012" xr:uid="{00000000-0005-0000-0000-0000670A0000}"/>
    <cellStyle name="Input 2 5 3 2" xfId="3404" xr:uid="{00000000-0005-0000-0000-0000680A0000}"/>
    <cellStyle name="Input 2 5 3 3" xfId="5302" xr:uid="{00000000-0005-0000-0000-0000690A0000}"/>
    <cellStyle name="Input 2 5 4" xfId="1013" xr:uid="{00000000-0005-0000-0000-00006A0A0000}"/>
    <cellStyle name="Input 2 5 4 2" xfId="3405" xr:uid="{00000000-0005-0000-0000-00006B0A0000}"/>
    <cellStyle name="Input 2 5 4 3" xfId="5303" xr:uid="{00000000-0005-0000-0000-00006C0A0000}"/>
    <cellStyle name="Input 2 5 5" xfId="1014" xr:uid="{00000000-0005-0000-0000-00006D0A0000}"/>
    <cellStyle name="Input 2 5 5 2" xfId="3406" xr:uid="{00000000-0005-0000-0000-00006E0A0000}"/>
    <cellStyle name="Input 2 5 5 3" xfId="5304" xr:uid="{00000000-0005-0000-0000-00006F0A0000}"/>
    <cellStyle name="Input 2 5 6" xfId="1015" xr:uid="{00000000-0005-0000-0000-0000700A0000}"/>
    <cellStyle name="Input 2 5 6 2" xfId="3407" xr:uid="{00000000-0005-0000-0000-0000710A0000}"/>
    <cellStyle name="Input 2 5 6 3" xfId="5305" xr:uid="{00000000-0005-0000-0000-0000720A0000}"/>
    <cellStyle name="Input 2 5 7" xfId="1016" xr:uid="{00000000-0005-0000-0000-0000730A0000}"/>
    <cellStyle name="Input 2 5 7 2" xfId="3408" xr:uid="{00000000-0005-0000-0000-0000740A0000}"/>
    <cellStyle name="Input 2 5 7 3" xfId="5306" xr:uid="{00000000-0005-0000-0000-0000750A0000}"/>
    <cellStyle name="Input 2 5 8" xfId="1017" xr:uid="{00000000-0005-0000-0000-0000760A0000}"/>
    <cellStyle name="Input 2 5 8 2" xfId="3409" xr:uid="{00000000-0005-0000-0000-0000770A0000}"/>
    <cellStyle name="Input 2 5 8 3" xfId="5307" xr:uid="{00000000-0005-0000-0000-0000780A0000}"/>
    <cellStyle name="Input 2 5 9" xfId="1018" xr:uid="{00000000-0005-0000-0000-0000790A0000}"/>
    <cellStyle name="Input 2 5 9 2" xfId="3410" xr:uid="{00000000-0005-0000-0000-00007A0A0000}"/>
    <cellStyle name="Input 2 5 9 3" xfId="5308" xr:uid="{00000000-0005-0000-0000-00007B0A0000}"/>
    <cellStyle name="Input 2 6" xfId="1019" xr:uid="{00000000-0005-0000-0000-00007C0A0000}"/>
    <cellStyle name="Input 2 6 10" xfId="1020" xr:uid="{00000000-0005-0000-0000-00007D0A0000}"/>
    <cellStyle name="Input 2 6 10 2" xfId="3412" xr:uid="{00000000-0005-0000-0000-00007E0A0000}"/>
    <cellStyle name="Input 2 6 10 3" xfId="5310" xr:uid="{00000000-0005-0000-0000-00007F0A0000}"/>
    <cellStyle name="Input 2 6 11" xfId="1021" xr:uid="{00000000-0005-0000-0000-0000800A0000}"/>
    <cellStyle name="Input 2 6 11 2" xfId="3413" xr:uid="{00000000-0005-0000-0000-0000810A0000}"/>
    <cellStyle name="Input 2 6 11 3" xfId="5311" xr:uid="{00000000-0005-0000-0000-0000820A0000}"/>
    <cellStyle name="Input 2 6 12" xfId="1022" xr:uid="{00000000-0005-0000-0000-0000830A0000}"/>
    <cellStyle name="Input 2 6 12 2" xfId="3414" xr:uid="{00000000-0005-0000-0000-0000840A0000}"/>
    <cellStyle name="Input 2 6 12 3" xfId="5312" xr:uid="{00000000-0005-0000-0000-0000850A0000}"/>
    <cellStyle name="Input 2 6 13" xfId="1023" xr:uid="{00000000-0005-0000-0000-0000860A0000}"/>
    <cellStyle name="Input 2 6 13 2" xfId="3415" xr:uid="{00000000-0005-0000-0000-0000870A0000}"/>
    <cellStyle name="Input 2 6 13 3" xfId="5313" xr:uid="{00000000-0005-0000-0000-0000880A0000}"/>
    <cellStyle name="Input 2 6 14" xfId="1024" xr:uid="{00000000-0005-0000-0000-0000890A0000}"/>
    <cellStyle name="Input 2 6 14 2" xfId="3416" xr:uid="{00000000-0005-0000-0000-00008A0A0000}"/>
    <cellStyle name="Input 2 6 14 3" xfId="5314" xr:uid="{00000000-0005-0000-0000-00008B0A0000}"/>
    <cellStyle name="Input 2 6 15" xfId="1025" xr:uid="{00000000-0005-0000-0000-00008C0A0000}"/>
    <cellStyle name="Input 2 6 15 2" xfId="3417" xr:uid="{00000000-0005-0000-0000-00008D0A0000}"/>
    <cellStyle name="Input 2 6 15 3" xfId="5315" xr:uid="{00000000-0005-0000-0000-00008E0A0000}"/>
    <cellStyle name="Input 2 6 16" xfId="1026" xr:uid="{00000000-0005-0000-0000-00008F0A0000}"/>
    <cellStyle name="Input 2 6 16 2" xfId="3418" xr:uid="{00000000-0005-0000-0000-0000900A0000}"/>
    <cellStyle name="Input 2 6 16 3" xfId="5316" xr:uid="{00000000-0005-0000-0000-0000910A0000}"/>
    <cellStyle name="Input 2 6 17" xfId="1027" xr:uid="{00000000-0005-0000-0000-0000920A0000}"/>
    <cellStyle name="Input 2 6 17 2" xfId="3419" xr:uid="{00000000-0005-0000-0000-0000930A0000}"/>
    <cellStyle name="Input 2 6 17 3" xfId="5317" xr:uid="{00000000-0005-0000-0000-0000940A0000}"/>
    <cellStyle name="Input 2 6 18" xfId="1028" xr:uid="{00000000-0005-0000-0000-0000950A0000}"/>
    <cellStyle name="Input 2 6 18 2" xfId="3420" xr:uid="{00000000-0005-0000-0000-0000960A0000}"/>
    <cellStyle name="Input 2 6 18 3" xfId="5318" xr:uid="{00000000-0005-0000-0000-0000970A0000}"/>
    <cellStyle name="Input 2 6 19" xfId="1029" xr:uid="{00000000-0005-0000-0000-0000980A0000}"/>
    <cellStyle name="Input 2 6 19 2" xfId="3421" xr:uid="{00000000-0005-0000-0000-0000990A0000}"/>
    <cellStyle name="Input 2 6 19 3" xfId="5319" xr:uid="{00000000-0005-0000-0000-00009A0A0000}"/>
    <cellStyle name="Input 2 6 2" xfId="1030" xr:uid="{00000000-0005-0000-0000-00009B0A0000}"/>
    <cellStyle name="Input 2 6 2 2" xfId="3422" xr:uid="{00000000-0005-0000-0000-00009C0A0000}"/>
    <cellStyle name="Input 2 6 2 3" xfId="5320" xr:uid="{00000000-0005-0000-0000-00009D0A0000}"/>
    <cellStyle name="Input 2 6 20" xfId="1031" xr:uid="{00000000-0005-0000-0000-00009E0A0000}"/>
    <cellStyle name="Input 2 6 20 2" xfId="3423" xr:uid="{00000000-0005-0000-0000-00009F0A0000}"/>
    <cellStyle name="Input 2 6 20 3" xfId="5321" xr:uid="{00000000-0005-0000-0000-0000A00A0000}"/>
    <cellStyle name="Input 2 6 21" xfId="1032" xr:uid="{00000000-0005-0000-0000-0000A10A0000}"/>
    <cellStyle name="Input 2 6 21 2" xfId="3424" xr:uid="{00000000-0005-0000-0000-0000A20A0000}"/>
    <cellStyle name="Input 2 6 21 3" xfId="5322" xr:uid="{00000000-0005-0000-0000-0000A30A0000}"/>
    <cellStyle name="Input 2 6 22" xfId="1033" xr:uid="{00000000-0005-0000-0000-0000A40A0000}"/>
    <cellStyle name="Input 2 6 22 2" xfId="3425" xr:uid="{00000000-0005-0000-0000-0000A50A0000}"/>
    <cellStyle name="Input 2 6 22 3" xfId="5323" xr:uid="{00000000-0005-0000-0000-0000A60A0000}"/>
    <cellStyle name="Input 2 6 23" xfId="1034" xr:uid="{00000000-0005-0000-0000-0000A70A0000}"/>
    <cellStyle name="Input 2 6 23 2" xfId="3426" xr:uid="{00000000-0005-0000-0000-0000A80A0000}"/>
    <cellStyle name="Input 2 6 23 3" xfId="5324" xr:uid="{00000000-0005-0000-0000-0000A90A0000}"/>
    <cellStyle name="Input 2 6 24" xfId="3411" xr:uid="{00000000-0005-0000-0000-0000AA0A0000}"/>
    <cellStyle name="Input 2 6 25" xfId="5309" xr:uid="{00000000-0005-0000-0000-0000AB0A0000}"/>
    <cellStyle name="Input 2 6 3" xfId="1035" xr:uid="{00000000-0005-0000-0000-0000AC0A0000}"/>
    <cellStyle name="Input 2 6 3 2" xfId="3427" xr:uid="{00000000-0005-0000-0000-0000AD0A0000}"/>
    <cellStyle name="Input 2 6 3 3" xfId="5325" xr:uid="{00000000-0005-0000-0000-0000AE0A0000}"/>
    <cellStyle name="Input 2 6 4" xfId="1036" xr:uid="{00000000-0005-0000-0000-0000AF0A0000}"/>
    <cellStyle name="Input 2 6 4 2" xfId="3428" xr:uid="{00000000-0005-0000-0000-0000B00A0000}"/>
    <cellStyle name="Input 2 6 4 3" xfId="5326" xr:uid="{00000000-0005-0000-0000-0000B10A0000}"/>
    <cellStyle name="Input 2 6 5" xfId="1037" xr:uid="{00000000-0005-0000-0000-0000B20A0000}"/>
    <cellStyle name="Input 2 6 5 2" xfId="3429" xr:uid="{00000000-0005-0000-0000-0000B30A0000}"/>
    <cellStyle name="Input 2 6 5 3" xfId="5327" xr:uid="{00000000-0005-0000-0000-0000B40A0000}"/>
    <cellStyle name="Input 2 6 6" xfId="1038" xr:uid="{00000000-0005-0000-0000-0000B50A0000}"/>
    <cellStyle name="Input 2 6 6 2" xfId="3430" xr:uid="{00000000-0005-0000-0000-0000B60A0000}"/>
    <cellStyle name="Input 2 6 6 3" xfId="5328" xr:uid="{00000000-0005-0000-0000-0000B70A0000}"/>
    <cellStyle name="Input 2 6 7" xfId="1039" xr:uid="{00000000-0005-0000-0000-0000B80A0000}"/>
    <cellStyle name="Input 2 6 7 2" xfId="3431" xr:uid="{00000000-0005-0000-0000-0000B90A0000}"/>
    <cellStyle name="Input 2 6 7 3" xfId="5329" xr:uid="{00000000-0005-0000-0000-0000BA0A0000}"/>
    <cellStyle name="Input 2 6 8" xfId="1040" xr:uid="{00000000-0005-0000-0000-0000BB0A0000}"/>
    <cellStyle name="Input 2 6 8 2" xfId="3432" xr:uid="{00000000-0005-0000-0000-0000BC0A0000}"/>
    <cellStyle name="Input 2 6 8 3" xfId="5330" xr:uid="{00000000-0005-0000-0000-0000BD0A0000}"/>
    <cellStyle name="Input 2 6 9" xfId="1041" xr:uid="{00000000-0005-0000-0000-0000BE0A0000}"/>
    <cellStyle name="Input 2 6 9 2" xfId="3433" xr:uid="{00000000-0005-0000-0000-0000BF0A0000}"/>
    <cellStyle name="Input 2 6 9 3" xfId="5331" xr:uid="{00000000-0005-0000-0000-0000C00A0000}"/>
    <cellStyle name="Input 2 7" xfId="1042" xr:uid="{00000000-0005-0000-0000-0000C10A0000}"/>
    <cellStyle name="Input 2 7 10" xfId="1043" xr:uid="{00000000-0005-0000-0000-0000C20A0000}"/>
    <cellStyle name="Input 2 7 10 2" xfId="3435" xr:uid="{00000000-0005-0000-0000-0000C30A0000}"/>
    <cellStyle name="Input 2 7 10 3" xfId="5333" xr:uid="{00000000-0005-0000-0000-0000C40A0000}"/>
    <cellStyle name="Input 2 7 11" xfId="1044" xr:uid="{00000000-0005-0000-0000-0000C50A0000}"/>
    <cellStyle name="Input 2 7 11 2" xfId="3436" xr:uid="{00000000-0005-0000-0000-0000C60A0000}"/>
    <cellStyle name="Input 2 7 11 3" xfId="5334" xr:uid="{00000000-0005-0000-0000-0000C70A0000}"/>
    <cellStyle name="Input 2 7 12" xfId="1045" xr:uid="{00000000-0005-0000-0000-0000C80A0000}"/>
    <cellStyle name="Input 2 7 12 2" xfId="3437" xr:uid="{00000000-0005-0000-0000-0000C90A0000}"/>
    <cellStyle name="Input 2 7 12 3" xfId="5335" xr:uid="{00000000-0005-0000-0000-0000CA0A0000}"/>
    <cellStyle name="Input 2 7 13" xfId="1046" xr:uid="{00000000-0005-0000-0000-0000CB0A0000}"/>
    <cellStyle name="Input 2 7 13 2" xfId="3438" xr:uid="{00000000-0005-0000-0000-0000CC0A0000}"/>
    <cellStyle name="Input 2 7 13 3" xfId="5336" xr:uid="{00000000-0005-0000-0000-0000CD0A0000}"/>
    <cellStyle name="Input 2 7 14" xfId="1047" xr:uid="{00000000-0005-0000-0000-0000CE0A0000}"/>
    <cellStyle name="Input 2 7 14 2" xfId="3439" xr:uid="{00000000-0005-0000-0000-0000CF0A0000}"/>
    <cellStyle name="Input 2 7 14 3" xfId="5337" xr:uid="{00000000-0005-0000-0000-0000D00A0000}"/>
    <cellStyle name="Input 2 7 15" xfId="1048" xr:uid="{00000000-0005-0000-0000-0000D10A0000}"/>
    <cellStyle name="Input 2 7 15 2" xfId="3440" xr:uid="{00000000-0005-0000-0000-0000D20A0000}"/>
    <cellStyle name="Input 2 7 15 3" xfId="5338" xr:uid="{00000000-0005-0000-0000-0000D30A0000}"/>
    <cellStyle name="Input 2 7 16" xfId="1049" xr:uid="{00000000-0005-0000-0000-0000D40A0000}"/>
    <cellStyle name="Input 2 7 16 2" xfId="3441" xr:uid="{00000000-0005-0000-0000-0000D50A0000}"/>
    <cellStyle name="Input 2 7 16 3" xfId="5339" xr:uid="{00000000-0005-0000-0000-0000D60A0000}"/>
    <cellStyle name="Input 2 7 17" xfId="1050" xr:uid="{00000000-0005-0000-0000-0000D70A0000}"/>
    <cellStyle name="Input 2 7 17 2" xfId="3442" xr:uid="{00000000-0005-0000-0000-0000D80A0000}"/>
    <cellStyle name="Input 2 7 17 3" xfId="5340" xr:uid="{00000000-0005-0000-0000-0000D90A0000}"/>
    <cellStyle name="Input 2 7 18" xfId="1051" xr:uid="{00000000-0005-0000-0000-0000DA0A0000}"/>
    <cellStyle name="Input 2 7 18 2" xfId="3443" xr:uid="{00000000-0005-0000-0000-0000DB0A0000}"/>
    <cellStyle name="Input 2 7 18 3" xfId="5341" xr:uid="{00000000-0005-0000-0000-0000DC0A0000}"/>
    <cellStyle name="Input 2 7 19" xfId="1052" xr:uid="{00000000-0005-0000-0000-0000DD0A0000}"/>
    <cellStyle name="Input 2 7 19 2" xfId="3444" xr:uid="{00000000-0005-0000-0000-0000DE0A0000}"/>
    <cellStyle name="Input 2 7 19 3" xfId="5342" xr:uid="{00000000-0005-0000-0000-0000DF0A0000}"/>
    <cellStyle name="Input 2 7 2" xfId="1053" xr:uid="{00000000-0005-0000-0000-0000E00A0000}"/>
    <cellStyle name="Input 2 7 2 2" xfId="3445" xr:uid="{00000000-0005-0000-0000-0000E10A0000}"/>
    <cellStyle name="Input 2 7 2 3" xfId="5343" xr:uid="{00000000-0005-0000-0000-0000E20A0000}"/>
    <cellStyle name="Input 2 7 20" xfId="1054" xr:uid="{00000000-0005-0000-0000-0000E30A0000}"/>
    <cellStyle name="Input 2 7 20 2" xfId="3446" xr:uid="{00000000-0005-0000-0000-0000E40A0000}"/>
    <cellStyle name="Input 2 7 20 3" xfId="5344" xr:uid="{00000000-0005-0000-0000-0000E50A0000}"/>
    <cellStyle name="Input 2 7 21" xfId="1055" xr:uid="{00000000-0005-0000-0000-0000E60A0000}"/>
    <cellStyle name="Input 2 7 21 2" xfId="3447" xr:uid="{00000000-0005-0000-0000-0000E70A0000}"/>
    <cellStyle name="Input 2 7 21 3" xfId="5345" xr:uid="{00000000-0005-0000-0000-0000E80A0000}"/>
    <cellStyle name="Input 2 7 22" xfId="1056" xr:uid="{00000000-0005-0000-0000-0000E90A0000}"/>
    <cellStyle name="Input 2 7 22 2" xfId="3448" xr:uid="{00000000-0005-0000-0000-0000EA0A0000}"/>
    <cellStyle name="Input 2 7 22 3" xfId="5346" xr:uid="{00000000-0005-0000-0000-0000EB0A0000}"/>
    <cellStyle name="Input 2 7 23" xfId="1057" xr:uid="{00000000-0005-0000-0000-0000EC0A0000}"/>
    <cellStyle name="Input 2 7 23 2" xfId="3449" xr:uid="{00000000-0005-0000-0000-0000ED0A0000}"/>
    <cellStyle name="Input 2 7 23 3" xfId="5347" xr:uid="{00000000-0005-0000-0000-0000EE0A0000}"/>
    <cellStyle name="Input 2 7 24" xfId="3434" xr:uid="{00000000-0005-0000-0000-0000EF0A0000}"/>
    <cellStyle name="Input 2 7 25" xfId="5332" xr:uid="{00000000-0005-0000-0000-0000F00A0000}"/>
    <cellStyle name="Input 2 7 3" xfId="1058" xr:uid="{00000000-0005-0000-0000-0000F10A0000}"/>
    <cellStyle name="Input 2 7 3 2" xfId="3450" xr:uid="{00000000-0005-0000-0000-0000F20A0000}"/>
    <cellStyle name="Input 2 7 3 3" xfId="5348" xr:uid="{00000000-0005-0000-0000-0000F30A0000}"/>
    <cellStyle name="Input 2 7 4" xfId="1059" xr:uid="{00000000-0005-0000-0000-0000F40A0000}"/>
    <cellStyle name="Input 2 7 4 2" xfId="3451" xr:uid="{00000000-0005-0000-0000-0000F50A0000}"/>
    <cellStyle name="Input 2 7 4 3" xfId="5349" xr:uid="{00000000-0005-0000-0000-0000F60A0000}"/>
    <cellStyle name="Input 2 7 5" xfId="1060" xr:uid="{00000000-0005-0000-0000-0000F70A0000}"/>
    <cellStyle name="Input 2 7 5 2" xfId="3452" xr:uid="{00000000-0005-0000-0000-0000F80A0000}"/>
    <cellStyle name="Input 2 7 5 3" xfId="5350" xr:uid="{00000000-0005-0000-0000-0000F90A0000}"/>
    <cellStyle name="Input 2 7 6" xfId="1061" xr:uid="{00000000-0005-0000-0000-0000FA0A0000}"/>
    <cellStyle name="Input 2 7 6 2" xfId="3453" xr:uid="{00000000-0005-0000-0000-0000FB0A0000}"/>
    <cellStyle name="Input 2 7 6 3" xfId="5351" xr:uid="{00000000-0005-0000-0000-0000FC0A0000}"/>
    <cellStyle name="Input 2 7 7" xfId="1062" xr:uid="{00000000-0005-0000-0000-0000FD0A0000}"/>
    <cellStyle name="Input 2 7 7 2" xfId="3454" xr:uid="{00000000-0005-0000-0000-0000FE0A0000}"/>
    <cellStyle name="Input 2 7 7 3" xfId="5352" xr:uid="{00000000-0005-0000-0000-0000FF0A0000}"/>
    <cellStyle name="Input 2 7 8" xfId="1063" xr:uid="{00000000-0005-0000-0000-0000000B0000}"/>
    <cellStyle name="Input 2 7 8 2" xfId="3455" xr:uid="{00000000-0005-0000-0000-0000010B0000}"/>
    <cellStyle name="Input 2 7 8 3" xfId="5353" xr:uid="{00000000-0005-0000-0000-0000020B0000}"/>
    <cellStyle name="Input 2 7 9" xfId="1064" xr:uid="{00000000-0005-0000-0000-0000030B0000}"/>
    <cellStyle name="Input 2 7 9 2" xfId="3456" xr:uid="{00000000-0005-0000-0000-0000040B0000}"/>
    <cellStyle name="Input 2 7 9 3" xfId="5354" xr:uid="{00000000-0005-0000-0000-0000050B0000}"/>
    <cellStyle name="Input 2 8" xfId="1065" xr:uid="{00000000-0005-0000-0000-0000060B0000}"/>
    <cellStyle name="Input 2 8 10" xfId="1066" xr:uid="{00000000-0005-0000-0000-0000070B0000}"/>
    <cellStyle name="Input 2 8 10 2" xfId="3458" xr:uid="{00000000-0005-0000-0000-0000080B0000}"/>
    <cellStyle name="Input 2 8 10 3" xfId="5356" xr:uid="{00000000-0005-0000-0000-0000090B0000}"/>
    <cellStyle name="Input 2 8 11" xfId="1067" xr:uid="{00000000-0005-0000-0000-00000A0B0000}"/>
    <cellStyle name="Input 2 8 11 2" xfId="3459" xr:uid="{00000000-0005-0000-0000-00000B0B0000}"/>
    <cellStyle name="Input 2 8 11 3" xfId="5357" xr:uid="{00000000-0005-0000-0000-00000C0B0000}"/>
    <cellStyle name="Input 2 8 12" xfId="1068" xr:uid="{00000000-0005-0000-0000-00000D0B0000}"/>
    <cellStyle name="Input 2 8 12 2" xfId="3460" xr:uid="{00000000-0005-0000-0000-00000E0B0000}"/>
    <cellStyle name="Input 2 8 12 3" xfId="5358" xr:uid="{00000000-0005-0000-0000-00000F0B0000}"/>
    <cellStyle name="Input 2 8 13" xfId="1069" xr:uid="{00000000-0005-0000-0000-0000100B0000}"/>
    <cellStyle name="Input 2 8 13 2" xfId="3461" xr:uid="{00000000-0005-0000-0000-0000110B0000}"/>
    <cellStyle name="Input 2 8 13 3" xfId="5359" xr:uid="{00000000-0005-0000-0000-0000120B0000}"/>
    <cellStyle name="Input 2 8 14" xfId="1070" xr:uid="{00000000-0005-0000-0000-0000130B0000}"/>
    <cellStyle name="Input 2 8 14 2" xfId="3462" xr:uid="{00000000-0005-0000-0000-0000140B0000}"/>
    <cellStyle name="Input 2 8 14 3" xfId="5360" xr:uid="{00000000-0005-0000-0000-0000150B0000}"/>
    <cellStyle name="Input 2 8 15" xfId="1071" xr:uid="{00000000-0005-0000-0000-0000160B0000}"/>
    <cellStyle name="Input 2 8 15 2" xfId="3463" xr:uid="{00000000-0005-0000-0000-0000170B0000}"/>
    <cellStyle name="Input 2 8 15 3" xfId="5361" xr:uid="{00000000-0005-0000-0000-0000180B0000}"/>
    <cellStyle name="Input 2 8 16" xfId="1072" xr:uid="{00000000-0005-0000-0000-0000190B0000}"/>
    <cellStyle name="Input 2 8 16 2" xfId="3464" xr:uid="{00000000-0005-0000-0000-00001A0B0000}"/>
    <cellStyle name="Input 2 8 16 3" xfId="5362" xr:uid="{00000000-0005-0000-0000-00001B0B0000}"/>
    <cellStyle name="Input 2 8 17" xfId="1073" xr:uid="{00000000-0005-0000-0000-00001C0B0000}"/>
    <cellStyle name="Input 2 8 17 2" xfId="3465" xr:uid="{00000000-0005-0000-0000-00001D0B0000}"/>
    <cellStyle name="Input 2 8 17 3" xfId="5363" xr:uid="{00000000-0005-0000-0000-00001E0B0000}"/>
    <cellStyle name="Input 2 8 18" xfId="1074" xr:uid="{00000000-0005-0000-0000-00001F0B0000}"/>
    <cellStyle name="Input 2 8 18 2" xfId="3466" xr:uid="{00000000-0005-0000-0000-0000200B0000}"/>
    <cellStyle name="Input 2 8 18 3" xfId="5364" xr:uid="{00000000-0005-0000-0000-0000210B0000}"/>
    <cellStyle name="Input 2 8 19" xfId="1075" xr:uid="{00000000-0005-0000-0000-0000220B0000}"/>
    <cellStyle name="Input 2 8 19 2" xfId="3467" xr:uid="{00000000-0005-0000-0000-0000230B0000}"/>
    <cellStyle name="Input 2 8 19 3" xfId="5365" xr:uid="{00000000-0005-0000-0000-0000240B0000}"/>
    <cellStyle name="Input 2 8 2" xfId="1076" xr:uid="{00000000-0005-0000-0000-0000250B0000}"/>
    <cellStyle name="Input 2 8 2 2" xfId="3468" xr:uid="{00000000-0005-0000-0000-0000260B0000}"/>
    <cellStyle name="Input 2 8 2 3" xfId="5366" xr:uid="{00000000-0005-0000-0000-0000270B0000}"/>
    <cellStyle name="Input 2 8 20" xfId="1077" xr:uid="{00000000-0005-0000-0000-0000280B0000}"/>
    <cellStyle name="Input 2 8 20 2" xfId="3469" xr:uid="{00000000-0005-0000-0000-0000290B0000}"/>
    <cellStyle name="Input 2 8 20 3" xfId="5367" xr:uid="{00000000-0005-0000-0000-00002A0B0000}"/>
    <cellStyle name="Input 2 8 21" xfId="1078" xr:uid="{00000000-0005-0000-0000-00002B0B0000}"/>
    <cellStyle name="Input 2 8 21 2" xfId="3470" xr:uid="{00000000-0005-0000-0000-00002C0B0000}"/>
    <cellStyle name="Input 2 8 21 3" xfId="5368" xr:uid="{00000000-0005-0000-0000-00002D0B0000}"/>
    <cellStyle name="Input 2 8 22" xfId="1079" xr:uid="{00000000-0005-0000-0000-00002E0B0000}"/>
    <cellStyle name="Input 2 8 22 2" xfId="3471" xr:uid="{00000000-0005-0000-0000-00002F0B0000}"/>
    <cellStyle name="Input 2 8 22 3" xfId="5369" xr:uid="{00000000-0005-0000-0000-0000300B0000}"/>
    <cellStyle name="Input 2 8 23" xfId="1080" xr:uid="{00000000-0005-0000-0000-0000310B0000}"/>
    <cellStyle name="Input 2 8 23 2" xfId="3472" xr:uid="{00000000-0005-0000-0000-0000320B0000}"/>
    <cellStyle name="Input 2 8 23 3" xfId="5370" xr:uid="{00000000-0005-0000-0000-0000330B0000}"/>
    <cellStyle name="Input 2 8 24" xfId="3457" xr:uid="{00000000-0005-0000-0000-0000340B0000}"/>
    <cellStyle name="Input 2 8 25" xfId="5355" xr:uid="{00000000-0005-0000-0000-0000350B0000}"/>
    <cellStyle name="Input 2 8 3" xfId="1081" xr:uid="{00000000-0005-0000-0000-0000360B0000}"/>
    <cellStyle name="Input 2 8 3 2" xfId="3473" xr:uid="{00000000-0005-0000-0000-0000370B0000}"/>
    <cellStyle name="Input 2 8 3 3" xfId="5371" xr:uid="{00000000-0005-0000-0000-0000380B0000}"/>
    <cellStyle name="Input 2 8 4" xfId="1082" xr:uid="{00000000-0005-0000-0000-0000390B0000}"/>
    <cellStyle name="Input 2 8 4 2" xfId="3474" xr:uid="{00000000-0005-0000-0000-00003A0B0000}"/>
    <cellStyle name="Input 2 8 4 3" xfId="5372" xr:uid="{00000000-0005-0000-0000-00003B0B0000}"/>
    <cellStyle name="Input 2 8 5" xfId="1083" xr:uid="{00000000-0005-0000-0000-00003C0B0000}"/>
    <cellStyle name="Input 2 8 5 2" xfId="3475" xr:uid="{00000000-0005-0000-0000-00003D0B0000}"/>
    <cellStyle name="Input 2 8 5 3" xfId="5373" xr:uid="{00000000-0005-0000-0000-00003E0B0000}"/>
    <cellStyle name="Input 2 8 6" xfId="1084" xr:uid="{00000000-0005-0000-0000-00003F0B0000}"/>
    <cellStyle name="Input 2 8 6 2" xfId="3476" xr:uid="{00000000-0005-0000-0000-0000400B0000}"/>
    <cellStyle name="Input 2 8 6 3" xfId="5374" xr:uid="{00000000-0005-0000-0000-0000410B0000}"/>
    <cellStyle name="Input 2 8 7" xfId="1085" xr:uid="{00000000-0005-0000-0000-0000420B0000}"/>
    <cellStyle name="Input 2 8 7 2" xfId="3477" xr:uid="{00000000-0005-0000-0000-0000430B0000}"/>
    <cellStyle name="Input 2 8 7 3" xfId="5375" xr:uid="{00000000-0005-0000-0000-0000440B0000}"/>
    <cellStyle name="Input 2 8 8" xfId="1086" xr:uid="{00000000-0005-0000-0000-0000450B0000}"/>
    <cellStyle name="Input 2 8 8 2" xfId="3478" xr:uid="{00000000-0005-0000-0000-0000460B0000}"/>
    <cellStyle name="Input 2 8 8 3" xfId="5376" xr:uid="{00000000-0005-0000-0000-0000470B0000}"/>
    <cellStyle name="Input 2 8 9" xfId="1087" xr:uid="{00000000-0005-0000-0000-0000480B0000}"/>
    <cellStyle name="Input 2 8 9 2" xfId="3479" xr:uid="{00000000-0005-0000-0000-0000490B0000}"/>
    <cellStyle name="Input 2 8 9 3" xfId="5377" xr:uid="{00000000-0005-0000-0000-00004A0B0000}"/>
    <cellStyle name="Input 2 9" xfId="1088" xr:uid="{00000000-0005-0000-0000-00004B0B0000}"/>
    <cellStyle name="Input 2 9 10" xfId="1089" xr:uid="{00000000-0005-0000-0000-00004C0B0000}"/>
    <cellStyle name="Input 2 9 10 2" xfId="3481" xr:uid="{00000000-0005-0000-0000-00004D0B0000}"/>
    <cellStyle name="Input 2 9 10 3" xfId="5379" xr:uid="{00000000-0005-0000-0000-00004E0B0000}"/>
    <cellStyle name="Input 2 9 11" xfId="1090" xr:uid="{00000000-0005-0000-0000-00004F0B0000}"/>
    <cellStyle name="Input 2 9 11 2" xfId="3482" xr:uid="{00000000-0005-0000-0000-0000500B0000}"/>
    <cellStyle name="Input 2 9 11 3" xfId="5380" xr:uid="{00000000-0005-0000-0000-0000510B0000}"/>
    <cellStyle name="Input 2 9 12" xfId="1091" xr:uid="{00000000-0005-0000-0000-0000520B0000}"/>
    <cellStyle name="Input 2 9 12 2" xfId="3483" xr:uid="{00000000-0005-0000-0000-0000530B0000}"/>
    <cellStyle name="Input 2 9 12 3" xfId="5381" xr:uid="{00000000-0005-0000-0000-0000540B0000}"/>
    <cellStyle name="Input 2 9 13" xfId="1092" xr:uid="{00000000-0005-0000-0000-0000550B0000}"/>
    <cellStyle name="Input 2 9 13 2" xfId="3484" xr:uid="{00000000-0005-0000-0000-0000560B0000}"/>
    <cellStyle name="Input 2 9 13 3" xfId="5382" xr:uid="{00000000-0005-0000-0000-0000570B0000}"/>
    <cellStyle name="Input 2 9 14" xfId="1093" xr:uid="{00000000-0005-0000-0000-0000580B0000}"/>
    <cellStyle name="Input 2 9 14 2" xfId="3485" xr:uid="{00000000-0005-0000-0000-0000590B0000}"/>
    <cellStyle name="Input 2 9 14 3" xfId="5383" xr:uid="{00000000-0005-0000-0000-00005A0B0000}"/>
    <cellStyle name="Input 2 9 15" xfId="1094" xr:uid="{00000000-0005-0000-0000-00005B0B0000}"/>
    <cellStyle name="Input 2 9 15 2" xfId="3486" xr:uid="{00000000-0005-0000-0000-00005C0B0000}"/>
    <cellStyle name="Input 2 9 15 3" xfId="5384" xr:uid="{00000000-0005-0000-0000-00005D0B0000}"/>
    <cellStyle name="Input 2 9 16" xfId="1095" xr:uid="{00000000-0005-0000-0000-00005E0B0000}"/>
    <cellStyle name="Input 2 9 16 2" xfId="3487" xr:uid="{00000000-0005-0000-0000-00005F0B0000}"/>
    <cellStyle name="Input 2 9 16 3" xfId="5385" xr:uid="{00000000-0005-0000-0000-0000600B0000}"/>
    <cellStyle name="Input 2 9 17" xfId="1096" xr:uid="{00000000-0005-0000-0000-0000610B0000}"/>
    <cellStyle name="Input 2 9 17 2" xfId="3488" xr:uid="{00000000-0005-0000-0000-0000620B0000}"/>
    <cellStyle name="Input 2 9 17 3" xfId="5386" xr:uid="{00000000-0005-0000-0000-0000630B0000}"/>
    <cellStyle name="Input 2 9 18" xfId="1097" xr:uid="{00000000-0005-0000-0000-0000640B0000}"/>
    <cellStyle name="Input 2 9 18 2" xfId="3489" xr:uid="{00000000-0005-0000-0000-0000650B0000}"/>
    <cellStyle name="Input 2 9 18 3" xfId="5387" xr:uid="{00000000-0005-0000-0000-0000660B0000}"/>
    <cellStyle name="Input 2 9 19" xfId="1098" xr:uid="{00000000-0005-0000-0000-0000670B0000}"/>
    <cellStyle name="Input 2 9 19 2" xfId="3490" xr:uid="{00000000-0005-0000-0000-0000680B0000}"/>
    <cellStyle name="Input 2 9 19 3" xfId="5388" xr:uid="{00000000-0005-0000-0000-0000690B0000}"/>
    <cellStyle name="Input 2 9 2" xfId="1099" xr:uid="{00000000-0005-0000-0000-00006A0B0000}"/>
    <cellStyle name="Input 2 9 2 2" xfId="3491" xr:uid="{00000000-0005-0000-0000-00006B0B0000}"/>
    <cellStyle name="Input 2 9 2 3" xfId="5389" xr:uid="{00000000-0005-0000-0000-00006C0B0000}"/>
    <cellStyle name="Input 2 9 20" xfId="1100" xr:uid="{00000000-0005-0000-0000-00006D0B0000}"/>
    <cellStyle name="Input 2 9 20 2" xfId="3492" xr:uid="{00000000-0005-0000-0000-00006E0B0000}"/>
    <cellStyle name="Input 2 9 20 3" xfId="5390" xr:uid="{00000000-0005-0000-0000-00006F0B0000}"/>
    <cellStyle name="Input 2 9 21" xfId="1101" xr:uid="{00000000-0005-0000-0000-0000700B0000}"/>
    <cellStyle name="Input 2 9 21 2" xfId="3493" xr:uid="{00000000-0005-0000-0000-0000710B0000}"/>
    <cellStyle name="Input 2 9 21 3" xfId="5391" xr:uid="{00000000-0005-0000-0000-0000720B0000}"/>
    <cellStyle name="Input 2 9 22" xfId="1102" xr:uid="{00000000-0005-0000-0000-0000730B0000}"/>
    <cellStyle name="Input 2 9 22 2" xfId="3494" xr:uid="{00000000-0005-0000-0000-0000740B0000}"/>
    <cellStyle name="Input 2 9 22 3" xfId="5392" xr:uid="{00000000-0005-0000-0000-0000750B0000}"/>
    <cellStyle name="Input 2 9 23" xfId="1103" xr:uid="{00000000-0005-0000-0000-0000760B0000}"/>
    <cellStyle name="Input 2 9 23 2" xfId="3495" xr:uid="{00000000-0005-0000-0000-0000770B0000}"/>
    <cellStyle name="Input 2 9 23 3" xfId="5393" xr:uid="{00000000-0005-0000-0000-0000780B0000}"/>
    <cellStyle name="Input 2 9 24" xfId="3480" xr:uid="{00000000-0005-0000-0000-0000790B0000}"/>
    <cellStyle name="Input 2 9 25" xfId="5378" xr:uid="{00000000-0005-0000-0000-00007A0B0000}"/>
    <cellStyle name="Input 2 9 3" xfId="1104" xr:uid="{00000000-0005-0000-0000-00007B0B0000}"/>
    <cellStyle name="Input 2 9 3 2" xfId="3496" xr:uid="{00000000-0005-0000-0000-00007C0B0000}"/>
    <cellStyle name="Input 2 9 3 3" xfId="5394" xr:uid="{00000000-0005-0000-0000-00007D0B0000}"/>
    <cellStyle name="Input 2 9 4" xfId="1105" xr:uid="{00000000-0005-0000-0000-00007E0B0000}"/>
    <cellStyle name="Input 2 9 4 2" xfId="3497" xr:uid="{00000000-0005-0000-0000-00007F0B0000}"/>
    <cellStyle name="Input 2 9 4 3" xfId="5395" xr:uid="{00000000-0005-0000-0000-0000800B0000}"/>
    <cellStyle name="Input 2 9 5" xfId="1106" xr:uid="{00000000-0005-0000-0000-0000810B0000}"/>
    <cellStyle name="Input 2 9 5 2" xfId="3498" xr:uid="{00000000-0005-0000-0000-0000820B0000}"/>
    <cellStyle name="Input 2 9 5 3" xfId="5396" xr:uid="{00000000-0005-0000-0000-0000830B0000}"/>
    <cellStyle name="Input 2 9 6" xfId="1107" xr:uid="{00000000-0005-0000-0000-0000840B0000}"/>
    <cellStyle name="Input 2 9 6 2" xfId="3499" xr:uid="{00000000-0005-0000-0000-0000850B0000}"/>
    <cellStyle name="Input 2 9 6 3" xfId="5397" xr:uid="{00000000-0005-0000-0000-0000860B0000}"/>
    <cellStyle name="Input 2 9 7" xfId="1108" xr:uid="{00000000-0005-0000-0000-0000870B0000}"/>
    <cellStyle name="Input 2 9 7 2" xfId="3500" xr:uid="{00000000-0005-0000-0000-0000880B0000}"/>
    <cellStyle name="Input 2 9 7 3" xfId="5398" xr:uid="{00000000-0005-0000-0000-0000890B0000}"/>
    <cellStyle name="Input 2 9 8" xfId="1109" xr:uid="{00000000-0005-0000-0000-00008A0B0000}"/>
    <cellStyle name="Input 2 9 8 2" xfId="3501" xr:uid="{00000000-0005-0000-0000-00008B0B0000}"/>
    <cellStyle name="Input 2 9 8 3" xfId="5399" xr:uid="{00000000-0005-0000-0000-00008C0B0000}"/>
    <cellStyle name="Input 2 9 9" xfId="1110" xr:uid="{00000000-0005-0000-0000-00008D0B0000}"/>
    <cellStyle name="Input 2 9 9 2" xfId="3502" xr:uid="{00000000-0005-0000-0000-00008E0B0000}"/>
    <cellStyle name="Input 2 9 9 3" xfId="5400" xr:uid="{00000000-0005-0000-0000-00008F0B0000}"/>
    <cellStyle name="Input 3" xfId="4750" xr:uid="{00000000-0005-0000-0000-0000900B0000}"/>
    <cellStyle name="Input 4" xfId="2485" xr:uid="{00000000-0005-0000-0000-0000910B0000}"/>
    <cellStyle name="Input 5" xfId="4728" xr:uid="{00000000-0005-0000-0000-0000920B0000}"/>
    <cellStyle name="Komórka połączona" xfId="1111" xr:uid="{00000000-0005-0000-0000-0000930B0000}"/>
    <cellStyle name="Komórka zaznaczona" xfId="1112" xr:uid="{00000000-0005-0000-0000-0000940B0000}"/>
    <cellStyle name="LineItemPrompt" xfId="40" xr:uid="{00000000-0005-0000-0000-0000950B0000}"/>
    <cellStyle name="LineItemValue" xfId="41" xr:uid="{00000000-0005-0000-0000-0000960B0000}"/>
    <cellStyle name="Linked Cell" xfId="42" builtinId="24" customBuiltin="1"/>
    <cellStyle name="Linked Cell 2" xfId="1113" xr:uid="{00000000-0005-0000-0000-0000980B0000}"/>
    <cellStyle name="Linked Cell 3" xfId="4753" xr:uid="{00000000-0005-0000-0000-0000990B0000}"/>
    <cellStyle name="Nagłówek 1" xfId="1114" xr:uid="{00000000-0005-0000-0000-00009A0B0000}"/>
    <cellStyle name="Nagłówek 2" xfId="1115" xr:uid="{00000000-0005-0000-0000-00009B0B0000}"/>
    <cellStyle name="Nagłówek 3" xfId="1116" xr:uid="{00000000-0005-0000-0000-00009C0B0000}"/>
    <cellStyle name="Nagłówek 3 2" xfId="1117" xr:uid="{00000000-0005-0000-0000-00009D0B0000}"/>
    <cellStyle name="Nagłówek 3 2 2" xfId="1118" xr:uid="{00000000-0005-0000-0000-00009E0B0000}"/>
    <cellStyle name="Nagłówek 3 2 3" xfId="1119" xr:uid="{00000000-0005-0000-0000-00009F0B0000}"/>
    <cellStyle name="Nagłówek 3 2 4" xfId="1120" xr:uid="{00000000-0005-0000-0000-0000A00B0000}"/>
    <cellStyle name="Nagłówek 3 2 5" xfId="1121" xr:uid="{00000000-0005-0000-0000-0000A10B0000}"/>
    <cellStyle name="Nagłówek 3 2 6" xfId="1122" xr:uid="{00000000-0005-0000-0000-0000A20B0000}"/>
    <cellStyle name="Nagłówek 3 2 7" xfId="1123" xr:uid="{00000000-0005-0000-0000-0000A30B0000}"/>
    <cellStyle name="Nagłówek 3 3" xfId="1124" xr:uid="{00000000-0005-0000-0000-0000A40B0000}"/>
    <cellStyle name="Nagłówek 3 4" xfId="1125" xr:uid="{00000000-0005-0000-0000-0000A50B0000}"/>
    <cellStyle name="Nagłówek 3 5" xfId="1126" xr:uid="{00000000-0005-0000-0000-0000A60B0000}"/>
    <cellStyle name="Nagłówek 3 6" xfId="1127" xr:uid="{00000000-0005-0000-0000-0000A70B0000}"/>
    <cellStyle name="Nagłówek 3 7" xfId="1128" xr:uid="{00000000-0005-0000-0000-0000A80B0000}"/>
    <cellStyle name="Nagłówek 3 8" xfId="1129" xr:uid="{00000000-0005-0000-0000-0000A90B0000}"/>
    <cellStyle name="Nagłówek 4" xfId="1130" xr:uid="{00000000-0005-0000-0000-0000AA0B0000}"/>
    <cellStyle name="Neutral" xfId="43" builtinId="28" customBuiltin="1"/>
    <cellStyle name="Neutral 2" xfId="1131" xr:uid="{00000000-0005-0000-0000-0000AC0B0000}"/>
    <cellStyle name="Neutral 2 2" xfId="1132" xr:uid="{00000000-0005-0000-0000-0000AD0B0000}"/>
    <cellStyle name="Neutral 3" xfId="4749" xr:uid="{00000000-0005-0000-0000-0000AE0B0000}"/>
    <cellStyle name="Neutralne" xfId="1133" xr:uid="{00000000-0005-0000-0000-0000AF0B0000}"/>
    <cellStyle name="Normal" xfId="0" builtinId="0"/>
    <cellStyle name="Normal 10" xfId="1134" xr:uid="{00000000-0005-0000-0000-0000B10B0000}"/>
    <cellStyle name="Normal 10 2" xfId="1135" xr:uid="{00000000-0005-0000-0000-0000B20B0000}"/>
    <cellStyle name="Normal 11" xfId="1136" xr:uid="{00000000-0005-0000-0000-0000B30B0000}"/>
    <cellStyle name="Normal 12" xfId="1137" xr:uid="{00000000-0005-0000-0000-0000B40B0000}"/>
    <cellStyle name="Normal 13" xfId="2423" xr:uid="{00000000-0005-0000-0000-0000B50B0000}"/>
    <cellStyle name="Normal 14" xfId="4734" xr:uid="{00000000-0005-0000-0000-0000B60B0000}"/>
    <cellStyle name="Normal 15" xfId="4736" xr:uid="{00000000-0005-0000-0000-0000B70B0000}"/>
    <cellStyle name="Normal 2" xfId="44" xr:uid="{00000000-0005-0000-0000-0000B80B0000}"/>
    <cellStyle name="Normal 2 2" xfId="82" xr:uid="{00000000-0005-0000-0000-0000B90B0000}"/>
    <cellStyle name="Normal 2 2 2" xfId="1138" xr:uid="{00000000-0005-0000-0000-0000BA0B0000}"/>
    <cellStyle name="Normal 2 2 3" xfId="2379" xr:uid="{00000000-0005-0000-0000-0000BB0B0000}"/>
    <cellStyle name="Normal 2 3" xfId="1139" xr:uid="{00000000-0005-0000-0000-0000BC0B0000}"/>
    <cellStyle name="Normal 2 3 2" xfId="6749" xr:uid="{00000000-0005-0000-0000-0000BD0B0000}"/>
    <cellStyle name="Normal 21" xfId="75" xr:uid="{00000000-0005-0000-0000-0000BE0B0000}"/>
    <cellStyle name="Normal 21 2" xfId="2491" xr:uid="{00000000-0005-0000-0000-0000BF0B0000}"/>
    <cellStyle name="Normal 23" xfId="83" xr:uid="{00000000-0005-0000-0000-0000C00B0000}"/>
    <cellStyle name="Normal 23 2" xfId="2498" xr:uid="{00000000-0005-0000-0000-0000C10B0000}"/>
    <cellStyle name="Normal 3" xfId="72" xr:uid="{00000000-0005-0000-0000-0000C20B0000}"/>
    <cellStyle name="Normal 3 2" xfId="95" xr:uid="{00000000-0005-0000-0000-0000C30B0000}"/>
    <cellStyle name="Normal 3 2 2" xfId="1140" xr:uid="{00000000-0005-0000-0000-0000C40B0000}"/>
    <cellStyle name="Normal 3 2 3" xfId="2380" xr:uid="{00000000-0005-0000-0000-0000C50B0000}"/>
    <cellStyle name="Normal 3 3" xfId="1141" xr:uid="{00000000-0005-0000-0000-0000C60B0000}"/>
    <cellStyle name="Normal 3 3 2" xfId="6750" xr:uid="{00000000-0005-0000-0000-0000C70B0000}"/>
    <cellStyle name="Normal 3 4" xfId="1142" xr:uid="{00000000-0005-0000-0000-0000C80B0000}"/>
    <cellStyle name="Normal 3 5" xfId="2376" xr:uid="{00000000-0005-0000-0000-0000C90B0000}"/>
    <cellStyle name="Normal 3 5 2" xfId="4723" xr:uid="{00000000-0005-0000-0000-0000CA0B0000}"/>
    <cellStyle name="Normal 4" xfId="84" xr:uid="{00000000-0005-0000-0000-0000CB0B0000}"/>
    <cellStyle name="Normal 4 2" xfId="1143" xr:uid="{00000000-0005-0000-0000-0000CC0B0000}"/>
    <cellStyle name="Normal 5" xfId="85" xr:uid="{00000000-0005-0000-0000-0000CD0B0000}"/>
    <cellStyle name="Normal 5 2" xfId="1144" xr:uid="{00000000-0005-0000-0000-0000CE0B0000}"/>
    <cellStyle name="Normal 5 2 2" xfId="6751" xr:uid="{00000000-0005-0000-0000-0000CF0B0000}"/>
    <cellStyle name="Normal 5 3" xfId="2499" xr:uid="{00000000-0005-0000-0000-0000D00B0000}"/>
    <cellStyle name="Normal 6" xfId="86" xr:uid="{00000000-0005-0000-0000-0000D10B0000}"/>
    <cellStyle name="Normal 6 2" xfId="2500" xr:uid="{00000000-0005-0000-0000-0000D20B0000}"/>
    <cellStyle name="Normal 7" xfId="87" xr:uid="{00000000-0005-0000-0000-0000D30B0000}"/>
    <cellStyle name="Normal 7 2" xfId="1145" xr:uid="{00000000-0005-0000-0000-0000D40B0000}"/>
    <cellStyle name="Normal 7 2 2" xfId="6752" xr:uid="{00000000-0005-0000-0000-0000D50B0000}"/>
    <cellStyle name="Normal 7 3" xfId="2501" xr:uid="{00000000-0005-0000-0000-0000D60B0000}"/>
    <cellStyle name="Normal 8" xfId="94" xr:uid="{00000000-0005-0000-0000-0000D70B0000}"/>
    <cellStyle name="Normal 8 2" xfId="2447" xr:uid="{00000000-0005-0000-0000-0000D80B0000}"/>
    <cellStyle name="Normal 9" xfId="1146" xr:uid="{00000000-0005-0000-0000-0000D90B0000}"/>
    <cellStyle name="Normal_Funding by District" xfId="45" xr:uid="{00000000-0005-0000-0000-0000DA0B0000}"/>
    <cellStyle name="Note" xfId="46" builtinId="10" customBuiltin="1"/>
    <cellStyle name="Note 2" xfId="1147" xr:uid="{00000000-0005-0000-0000-0000DC0B0000}"/>
    <cellStyle name="Note 2 10" xfId="1148" xr:uid="{00000000-0005-0000-0000-0000DD0B0000}"/>
    <cellStyle name="Note 2 10 10" xfId="1149" xr:uid="{00000000-0005-0000-0000-0000DE0B0000}"/>
    <cellStyle name="Note 2 10 10 2" xfId="3505" xr:uid="{00000000-0005-0000-0000-0000DF0B0000}"/>
    <cellStyle name="Note 2 10 10 3" xfId="5403" xr:uid="{00000000-0005-0000-0000-0000E00B0000}"/>
    <cellStyle name="Note 2 10 11" xfId="1150" xr:uid="{00000000-0005-0000-0000-0000E10B0000}"/>
    <cellStyle name="Note 2 10 11 2" xfId="3506" xr:uid="{00000000-0005-0000-0000-0000E20B0000}"/>
    <cellStyle name="Note 2 10 11 3" xfId="5404" xr:uid="{00000000-0005-0000-0000-0000E30B0000}"/>
    <cellStyle name="Note 2 10 12" xfId="1151" xr:uid="{00000000-0005-0000-0000-0000E40B0000}"/>
    <cellStyle name="Note 2 10 12 2" xfId="3507" xr:uid="{00000000-0005-0000-0000-0000E50B0000}"/>
    <cellStyle name="Note 2 10 12 3" xfId="5405" xr:uid="{00000000-0005-0000-0000-0000E60B0000}"/>
    <cellStyle name="Note 2 10 13" xfId="1152" xr:uid="{00000000-0005-0000-0000-0000E70B0000}"/>
    <cellStyle name="Note 2 10 13 2" xfId="3508" xr:uid="{00000000-0005-0000-0000-0000E80B0000}"/>
    <cellStyle name="Note 2 10 13 3" xfId="5406" xr:uid="{00000000-0005-0000-0000-0000E90B0000}"/>
    <cellStyle name="Note 2 10 14" xfId="1153" xr:uid="{00000000-0005-0000-0000-0000EA0B0000}"/>
    <cellStyle name="Note 2 10 14 2" xfId="3509" xr:uid="{00000000-0005-0000-0000-0000EB0B0000}"/>
    <cellStyle name="Note 2 10 14 3" xfId="5407" xr:uid="{00000000-0005-0000-0000-0000EC0B0000}"/>
    <cellStyle name="Note 2 10 15" xfId="1154" xr:uid="{00000000-0005-0000-0000-0000ED0B0000}"/>
    <cellStyle name="Note 2 10 15 2" xfId="3510" xr:uid="{00000000-0005-0000-0000-0000EE0B0000}"/>
    <cellStyle name="Note 2 10 15 3" xfId="5408" xr:uid="{00000000-0005-0000-0000-0000EF0B0000}"/>
    <cellStyle name="Note 2 10 16" xfId="1155" xr:uid="{00000000-0005-0000-0000-0000F00B0000}"/>
    <cellStyle name="Note 2 10 16 2" xfId="3511" xr:uid="{00000000-0005-0000-0000-0000F10B0000}"/>
    <cellStyle name="Note 2 10 16 3" xfId="5409" xr:uid="{00000000-0005-0000-0000-0000F20B0000}"/>
    <cellStyle name="Note 2 10 17" xfId="1156" xr:uid="{00000000-0005-0000-0000-0000F30B0000}"/>
    <cellStyle name="Note 2 10 17 2" xfId="3512" xr:uid="{00000000-0005-0000-0000-0000F40B0000}"/>
    <cellStyle name="Note 2 10 17 3" xfId="5410" xr:uid="{00000000-0005-0000-0000-0000F50B0000}"/>
    <cellStyle name="Note 2 10 18" xfId="1157" xr:uid="{00000000-0005-0000-0000-0000F60B0000}"/>
    <cellStyle name="Note 2 10 18 2" xfId="3513" xr:uid="{00000000-0005-0000-0000-0000F70B0000}"/>
    <cellStyle name="Note 2 10 18 3" xfId="5411" xr:uid="{00000000-0005-0000-0000-0000F80B0000}"/>
    <cellStyle name="Note 2 10 19" xfId="1158" xr:uid="{00000000-0005-0000-0000-0000F90B0000}"/>
    <cellStyle name="Note 2 10 19 2" xfId="3514" xr:uid="{00000000-0005-0000-0000-0000FA0B0000}"/>
    <cellStyle name="Note 2 10 19 3" xfId="5412" xr:uid="{00000000-0005-0000-0000-0000FB0B0000}"/>
    <cellStyle name="Note 2 10 2" xfId="1159" xr:uid="{00000000-0005-0000-0000-0000FC0B0000}"/>
    <cellStyle name="Note 2 10 2 2" xfId="3515" xr:uid="{00000000-0005-0000-0000-0000FD0B0000}"/>
    <cellStyle name="Note 2 10 2 3" xfId="5413" xr:uid="{00000000-0005-0000-0000-0000FE0B0000}"/>
    <cellStyle name="Note 2 10 20" xfId="1160" xr:uid="{00000000-0005-0000-0000-0000FF0B0000}"/>
    <cellStyle name="Note 2 10 20 2" xfId="3516" xr:uid="{00000000-0005-0000-0000-0000000C0000}"/>
    <cellStyle name="Note 2 10 20 3" xfId="5414" xr:uid="{00000000-0005-0000-0000-0000010C0000}"/>
    <cellStyle name="Note 2 10 21" xfId="1161" xr:uid="{00000000-0005-0000-0000-0000020C0000}"/>
    <cellStyle name="Note 2 10 21 2" xfId="3517" xr:uid="{00000000-0005-0000-0000-0000030C0000}"/>
    <cellStyle name="Note 2 10 21 3" xfId="5415" xr:uid="{00000000-0005-0000-0000-0000040C0000}"/>
    <cellStyle name="Note 2 10 22" xfId="1162" xr:uid="{00000000-0005-0000-0000-0000050C0000}"/>
    <cellStyle name="Note 2 10 22 2" xfId="3518" xr:uid="{00000000-0005-0000-0000-0000060C0000}"/>
    <cellStyle name="Note 2 10 22 3" xfId="5416" xr:uid="{00000000-0005-0000-0000-0000070C0000}"/>
    <cellStyle name="Note 2 10 23" xfId="1163" xr:uid="{00000000-0005-0000-0000-0000080C0000}"/>
    <cellStyle name="Note 2 10 23 2" xfId="3519" xr:uid="{00000000-0005-0000-0000-0000090C0000}"/>
    <cellStyle name="Note 2 10 23 3" xfId="5417" xr:uid="{00000000-0005-0000-0000-00000A0C0000}"/>
    <cellStyle name="Note 2 10 24" xfId="3504" xr:uid="{00000000-0005-0000-0000-00000B0C0000}"/>
    <cellStyle name="Note 2 10 25" xfId="5402" xr:uid="{00000000-0005-0000-0000-00000C0C0000}"/>
    <cellStyle name="Note 2 10 3" xfId="1164" xr:uid="{00000000-0005-0000-0000-00000D0C0000}"/>
    <cellStyle name="Note 2 10 3 2" xfId="3520" xr:uid="{00000000-0005-0000-0000-00000E0C0000}"/>
    <cellStyle name="Note 2 10 3 3" xfId="5418" xr:uid="{00000000-0005-0000-0000-00000F0C0000}"/>
    <cellStyle name="Note 2 10 4" xfId="1165" xr:uid="{00000000-0005-0000-0000-0000100C0000}"/>
    <cellStyle name="Note 2 10 4 2" xfId="3521" xr:uid="{00000000-0005-0000-0000-0000110C0000}"/>
    <cellStyle name="Note 2 10 4 3" xfId="5419" xr:uid="{00000000-0005-0000-0000-0000120C0000}"/>
    <cellStyle name="Note 2 10 5" xfId="1166" xr:uid="{00000000-0005-0000-0000-0000130C0000}"/>
    <cellStyle name="Note 2 10 5 2" xfId="3522" xr:uid="{00000000-0005-0000-0000-0000140C0000}"/>
    <cellStyle name="Note 2 10 5 3" xfId="5420" xr:uid="{00000000-0005-0000-0000-0000150C0000}"/>
    <cellStyle name="Note 2 10 6" xfId="1167" xr:uid="{00000000-0005-0000-0000-0000160C0000}"/>
    <cellStyle name="Note 2 10 6 2" xfId="3523" xr:uid="{00000000-0005-0000-0000-0000170C0000}"/>
    <cellStyle name="Note 2 10 6 3" xfId="5421" xr:uid="{00000000-0005-0000-0000-0000180C0000}"/>
    <cellStyle name="Note 2 10 7" xfId="1168" xr:uid="{00000000-0005-0000-0000-0000190C0000}"/>
    <cellStyle name="Note 2 10 7 2" xfId="3524" xr:uid="{00000000-0005-0000-0000-00001A0C0000}"/>
    <cellStyle name="Note 2 10 7 3" xfId="5422" xr:uid="{00000000-0005-0000-0000-00001B0C0000}"/>
    <cellStyle name="Note 2 10 8" xfId="1169" xr:uid="{00000000-0005-0000-0000-00001C0C0000}"/>
    <cellStyle name="Note 2 10 8 2" xfId="3525" xr:uid="{00000000-0005-0000-0000-00001D0C0000}"/>
    <cellStyle name="Note 2 10 8 3" xfId="5423" xr:uid="{00000000-0005-0000-0000-00001E0C0000}"/>
    <cellStyle name="Note 2 10 9" xfId="1170" xr:uid="{00000000-0005-0000-0000-00001F0C0000}"/>
    <cellStyle name="Note 2 10 9 2" xfId="3526" xr:uid="{00000000-0005-0000-0000-0000200C0000}"/>
    <cellStyle name="Note 2 10 9 3" xfId="5424" xr:uid="{00000000-0005-0000-0000-0000210C0000}"/>
    <cellStyle name="Note 2 11" xfId="1171" xr:uid="{00000000-0005-0000-0000-0000220C0000}"/>
    <cellStyle name="Note 2 11 10" xfId="1172" xr:uid="{00000000-0005-0000-0000-0000230C0000}"/>
    <cellStyle name="Note 2 11 10 2" xfId="3528" xr:uid="{00000000-0005-0000-0000-0000240C0000}"/>
    <cellStyle name="Note 2 11 10 3" xfId="5426" xr:uid="{00000000-0005-0000-0000-0000250C0000}"/>
    <cellStyle name="Note 2 11 11" xfId="1173" xr:uid="{00000000-0005-0000-0000-0000260C0000}"/>
    <cellStyle name="Note 2 11 11 2" xfId="3529" xr:uid="{00000000-0005-0000-0000-0000270C0000}"/>
    <cellStyle name="Note 2 11 11 3" xfId="5427" xr:uid="{00000000-0005-0000-0000-0000280C0000}"/>
    <cellStyle name="Note 2 11 12" xfId="1174" xr:uid="{00000000-0005-0000-0000-0000290C0000}"/>
    <cellStyle name="Note 2 11 12 2" xfId="3530" xr:uid="{00000000-0005-0000-0000-00002A0C0000}"/>
    <cellStyle name="Note 2 11 12 3" xfId="5428" xr:uid="{00000000-0005-0000-0000-00002B0C0000}"/>
    <cellStyle name="Note 2 11 13" xfId="1175" xr:uid="{00000000-0005-0000-0000-00002C0C0000}"/>
    <cellStyle name="Note 2 11 13 2" xfId="3531" xr:uid="{00000000-0005-0000-0000-00002D0C0000}"/>
    <cellStyle name="Note 2 11 13 3" xfId="5429" xr:uid="{00000000-0005-0000-0000-00002E0C0000}"/>
    <cellStyle name="Note 2 11 14" xfId="1176" xr:uid="{00000000-0005-0000-0000-00002F0C0000}"/>
    <cellStyle name="Note 2 11 14 2" xfId="3532" xr:uid="{00000000-0005-0000-0000-0000300C0000}"/>
    <cellStyle name="Note 2 11 14 3" xfId="5430" xr:uid="{00000000-0005-0000-0000-0000310C0000}"/>
    <cellStyle name="Note 2 11 15" xfId="1177" xr:uid="{00000000-0005-0000-0000-0000320C0000}"/>
    <cellStyle name="Note 2 11 15 2" xfId="3533" xr:uid="{00000000-0005-0000-0000-0000330C0000}"/>
    <cellStyle name="Note 2 11 15 3" xfId="5431" xr:uid="{00000000-0005-0000-0000-0000340C0000}"/>
    <cellStyle name="Note 2 11 16" xfId="1178" xr:uid="{00000000-0005-0000-0000-0000350C0000}"/>
    <cellStyle name="Note 2 11 16 2" xfId="3534" xr:uid="{00000000-0005-0000-0000-0000360C0000}"/>
    <cellStyle name="Note 2 11 16 3" xfId="5432" xr:uid="{00000000-0005-0000-0000-0000370C0000}"/>
    <cellStyle name="Note 2 11 17" xfId="1179" xr:uid="{00000000-0005-0000-0000-0000380C0000}"/>
    <cellStyle name="Note 2 11 17 2" xfId="3535" xr:uid="{00000000-0005-0000-0000-0000390C0000}"/>
    <cellStyle name="Note 2 11 17 3" xfId="5433" xr:uid="{00000000-0005-0000-0000-00003A0C0000}"/>
    <cellStyle name="Note 2 11 18" xfId="1180" xr:uid="{00000000-0005-0000-0000-00003B0C0000}"/>
    <cellStyle name="Note 2 11 18 2" xfId="3536" xr:uid="{00000000-0005-0000-0000-00003C0C0000}"/>
    <cellStyle name="Note 2 11 18 3" xfId="5434" xr:uid="{00000000-0005-0000-0000-00003D0C0000}"/>
    <cellStyle name="Note 2 11 19" xfId="1181" xr:uid="{00000000-0005-0000-0000-00003E0C0000}"/>
    <cellStyle name="Note 2 11 19 2" xfId="3537" xr:uid="{00000000-0005-0000-0000-00003F0C0000}"/>
    <cellStyle name="Note 2 11 19 3" xfId="5435" xr:uid="{00000000-0005-0000-0000-0000400C0000}"/>
    <cellStyle name="Note 2 11 2" xfId="1182" xr:uid="{00000000-0005-0000-0000-0000410C0000}"/>
    <cellStyle name="Note 2 11 2 2" xfId="3538" xr:uid="{00000000-0005-0000-0000-0000420C0000}"/>
    <cellStyle name="Note 2 11 2 3" xfId="5436" xr:uid="{00000000-0005-0000-0000-0000430C0000}"/>
    <cellStyle name="Note 2 11 20" xfId="1183" xr:uid="{00000000-0005-0000-0000-0000440C0000}"/>
    <cellStyle name="Note 2 11 20 2" xfId="3539" xr:uid="{00000000-0005-0000-0000-0000450C0000}"/>
    <cellStyle name="Note 2 11 20 3" xfId="5437" xr:uid="{00000000-0005-0000-0000-0000460C0000}"/>
    <cellStyle name="Note 2 11 21" xfId="1184" xr:uid="{00000000-0005-0000-0000-0000470C0000}"/>
    <cellStyle name="Note 2 11 21 2" xfId="3540" xr:uid="{00000000-0005-0000-0000-0000480C0000}"/>
    <cellStyle name="Note 2 11 21 3" xfId="5438" xr:uid="{00000000-0005-0000-0000-0000490C0000}"/>
    <cellStyle name="Note 2 11 22" xfId="1185" xr:uid="{00000000-0005-0000-0000-00004A0C0000}"/>
    <cellStyle name="Note 2 11 22 2" xfId="3541" xr:uid="{00000000-0005-0000-0000-00004B0C0000}"/>
    <cellStyle name="Note 2 11 22 3" xfId="5439" xr:uid="{00000000-0005-0000-0000-00004C0C0000}"/>
    <cellStyle name="Note 2 11 23" xfId="1186" xr:uid="{00000000-0005-0000-0000-00004D0C0000}"/>
    <cellStyle name="Note 2 11 23 2" xfId="3542" xr:uid="{00000000-0005-0000-0000-00004E0C0000}"/>
    <cellStyle name="Note 2 11 23 3" xfId="5440" xr:uid="{00000000-0005-0000-0000-00004F0C0000}"/>
    <cellStyle name="Note 2 11 24" xfId="3527" xr:uid="{00000000-0005-0000-0000-0000500C0000}"/>
    <cellStyle name="Note 2 11 25" xfId="5425" xr:uid="{00000000-0005-0000-0000-0000510C0000}"/>
    <cellStyle name="Note 2 11 3" xfId="1187" xr:uid="{00000000-0005-0000-0000-0000520C0000}"/>
    <cellStyle name="Note 2 11 3 2" xfId="3543" xr:uid="{00000000-0005-0000-0000-0000530C0000}"/>
    <cellStyle name="Note 2 11 3 3" xfId="5441" xr:uid="{00000000-0005-0000-0000-0000540C0000}"/>
    <cellStyle name="Note 2 11 4" xfId="1188" xr:uid="{00000000-0005-0000-0000-0000550C0000}"/>
    <cellStyle name="Note 2 11 4 2" xfId="3544" xr:uid="{00000000-0005-0000-0000-0000560C0000}"/>
    <cellStyle name="Note 2 11 4 3" xfId="5442" xr:uid="{00000000-0005-0000-0000-0000570C0000}"/>
    <cellStyle name="Note 2 11 5" xfId="1189" xr:uid="{00000000-0005-0000-0000-0000580C0000}"/>
    <cellStyle name="Note 2 11 5 2" xfId="3545" xr:uid="{00000000-0005-0000-0000-0000590C0000}"/>
    <cellStyle name="Note 2 11 5 3" xfId="5443" xr:uid="{00000000-0005-0000-0000-00005A0C0000}"/>
    <cellStyle name="Note 2 11 6" xfId="1190" xr:uid="{00000000-0005-0000-0000-00005B0C0000}"/>
    <cellStyle name="Note 2 11 6 2" xfId="3546" xr:uid="{00000000-0005-0000-0000-00005C0C0000}"/>
    <cellStyle name="Note 2 11 6 3" xfId="5444" xr:uid="{00000000-0005-0000-0000-00005D0C0000}"/>
    <cellStyle name="Note 2 11 7" xfId="1191" xr:uid="{00000000-0005-0000-0000-00005E0C0000}"/>
    <cellStyle name="Note 2 11 7 2" xfId="3547" xr:uid="{00000000-0005-0000-0000-00005F0C0000}"/>
    <cellStyle name="Note 2 11 7 3" xfId="5445" xr:uid="{00000000-0005-0000-0000-0000600C0000}"/>
    <cellStyle name="Note 2 11 8" xfId="1192" xr:uid="{00000000-0005-0000-0000-0000610C0000}"/>
    <cellStyle name="Note 2 11 8 2" xfId="3548" xr:uid="{00000000-0005-0000-0000-0000620C0000}"/>
    <cellStyle name="Note 2 11 8 3" xfId="5446" xr:uid="{00000000-0005-0000-0000-0000630C0000}"/>
    <cellStyle name="Note 2 11 9" xfId="1193" xr:uid="{00000000-0005-0000-0000-0000640C0000}"/>
    <cellStyle name="Note 2 11 9 2" xfId="3549" xr:uid="{00000000-0005-0000-0000-0000650C0000}"/>
    <cellStyle name="Note 2 11 9 3" xfId="5447" xr:uid="{00000000-0005-0000-0000-0000660C0000}"/>
    <cellStyle name="Note 2 12" xfId="1194" xr:uid="{00000000-0005-0000-0000-0000670C0000}"/>
    <cellStyle name="Note 2 12 10" xfId="1195" xr:uid="{00000000-0005-0000-0000-0000680C0000}"/>
    <cellStyle name="Note 2 12 10 2" xfId="3551" xr:uid="{00000000-0005-0000-0000-0000690C0000}"/>
    <cellStyle name="Note 2 12 10 3" xfId="5449" xr:uid="{00000000-0005-0000-0000-00006A0C0000}"/>
    <cellStyle name="Note 2 12 11" xfId="1196" xr:uid="{00000000-0005-0000-0000-00006B0C0000}"/>
    <cellStyle name="Note 2 12 11 2" xfId="3552" xr:uid="{00000000-0005-0000-0000-00006C0C0000}"/>
    <cellStyle name="Note 2 12 11 3" xfId="5450" xr:uid="{00000000-0005-0000-0000-00006D0C0000}"/>
    <cellStyle name="Note 2 12 12" xfId="1197" xr:uid="{00000000-0005-0000-0000-00006E0C0000}"/>
    <cellStyle name="Note 2 12 12 2" xfId="3553" xr:uid="{00000000-0005-0000-0000-00006F0C0000}"/>
    <cellStyle name="Note 2 12 12 3" xfId="5451" xr:uid="{00000000-0005-0000-0000-0000700C0000}"/>
    <cellStyle name="Note 2 12 13" xfId="1198" xr:uid="{00000000-0005-0000-0000-0000710C0000}"/>
    <cellStyle name="Note 2 12 13 2" xfId="3554" xr:uid="{00000000-0005-0000-0000-0000720C0000}"/>
    <cellStyle name="Note 2 12 13 3" xfId="5452" xr:uid="{00000000-0005-0000-0000-0000730C0000}"/>
    <cellStyle name="Note 2 12 14" xfId="1199" xr:uid="{00000000-0005-0000-0000-0000740C0000}"/>
    <cellStyle name="Note 2 12 14 2" xfId="3555" xr:uid="{00000000-0005-0000-0000-0000750C0000}"/>
    <cellStyle name="Note 2 12 14 3" xfId="5453" xr:uid="{00000000-0005-0000-0000-0000760C0000}"/>
    <cellStyle name="Note 2 12 15" xfId="1200" xr:uid="{00000000-0005-0000-0000-0000770C0000}"/>
    <cellStyle name="Note 2 12 15 2" xfId="3556" xr:uid="{00000000-0005-0000-0000-0000780C0000}"/>
    <cellStyle name="Note 2 12 15 3" xfId="5454" xr:uid="{00000000-0005-0000-0000-0000790C0000}"/>
    <cellStyle name="Note 2 12 16" xfId="1201" xr:uid="{00000000-0005-0000-0000-00007A0C0000}"/>
    <cellStyle name="Note 2 12 16 2" xfId="3557" xr:uid="{00000000-0005-0000-0000-00007B0C0000}"/>
    <cellStyle name="Note 2 12 16 3" xfId="5455" xr:uid="{00000000-0005-0000-0000-00007C0C0000}"/>
    <cellStyle name="Note 2 12 17" xfId="1202" xr:uid="{00000000-0005-0000-0000-00007D0C0000}"/>
    <cellStyle name="Note 2 12 17 2" xfId="3558" xr:uid="{00000000-0005-0000-0000-00007E0C0000}"/>
    <cellStyle name="Note 2 12 17 3" xfId="5456" xr:uid="{00000000-0005-0000-0000-00007F0C0000}"/>
    <cellStyle name="Note 2 12 18" xfId="1203" xr:uid="{00000000-0005-0000-0000-0000800C0000}"/>
    <cellStyle name="Note 2 12 18 2" xfId="3559" xr:uid="{00000000-0005-0000-0000-0000810C0000}"/>
    <cellStyle name="Note 2 12 18 3" xfId="5457" xr:uid="{00000000-0005-0000-0000-0000820C0000}"/>
    <cellStyle name="Note 2 12 19" xfId="1204" xr:uid="{00000000-0005-0000-0000-0000830C0000}"/>
    <cellStyle name="Note 2 12 19 2" xfId="3560" xr:uid="{00000000-0005-0000-0000-0000840C0000}"/>
    <cellStyle name="Note 2 12 19 3" xfId="5458" xr:uid="{00000000-0005-0000-0000-0000850C0000}"/>
    <cellStyle name="Note 2 12 2" xfId="1205" xr:uid="{00000000-0005-0000-0000-0000860C0000}"/>
    <cellStyle name="Note 2 12 2 2" xfId="3561" xr:uid="{00000000-0005-0000-0000-0000870C0000}"/>
    <cellStyle name="Note 2 12 2 3" xfId="5459" xr:uid="{00000000-0005-0000-0000-0000880C0000}"/>
    <cellStyle name="Note 2 12 20" xfId="1206" xr:uid="{00000000-0005-0000-0000-0000890C0000}"/>
    <cellStyle name="Note 2 12 20 2" xfId="3562" xr:uid="{00000000-0005-0000-0000-00008A0C0000}"/>
    <cellStyle name="Note 2 12 20 3" xfId="5460" xr:uid="{00000000-0005-0000-0000-00008B0C0000}"/>
    <cellStyle name="Note 2 12 21" xfId="1207" xr:uid="{00000000-0005-0000-0000-00008C0C0000}"/>
    <cellStyle name="Note 2 12 21 2" xfId="3563" xr:uid="{00000000-0005-0000-0000-00008D0C0000}"/>
    <cellStyle name="Note 2 12 21 3" xfId="5461" xr:uid="{00000000-0005-0000-0000-00008E0C0000}"/>
    <cellStyle name="Note 2 12 22" xfId="1208" xr:uid="{00000000-0005-0000-0000-00008F0C0000}"/>
    <cellStyle name="Note 2 12 22 2" xfId="3564" xr:uid="{00000000-0005-0000-0000-0000900C0000}"/>
    <cellStyle name="Note 2 12 22 3" xfId="5462" xr:uid="{00000000-0005-0000-0000-0000910C0000}"/>
    <cellStyle name="Note 2 12 23" xfId="1209" xr:uid="{00000000-0005-0000-0000-0000920C0000}"/>
    <cellStyle name="Note 2 12 23 2" xfId="3565" xr:uid="{00000000-0005-0000-0000-0000930C0000}"/>
    <cellStyle name="Note 2 12 23 3" xfId="5463" xr:uid="{00000000-0005-0000-0000-0000940C0000}"/>
    <cellStyle name="Note 2 12 24" xfId="3550" xr:uid="{00000000-0005-0000-0000-0000950C0000}"/>
    <cellStyle name="Note 2 12 25" xfId="5448" xr:uid="{00000000-0005-0000-0000-0000960C0000}"/>
    <cellStyle name="Note 2 12 3" xfId="1210" xr:uid="{00000000-0005-0000-0000-0000970C0000}"/>
    <cellStyle name="Note 2 12 3 2" xfId="3566" xr:uid="{00000000-0005-0000-0000-0000980C0000}"/>
    <cellStyle name="Note 2 12 3 3" xfId="5464" xr:uid="{00000000-0005-0000-0000-0000990C0000}"/>
    <cellStyle name="Note 2 12 4" xfId="1211" xr:uid="{00000000-0005-0000-0000-00009A0C0000}"/>
    <cellStyle name="Note 2 12 4 2" xfId="3567" xr:uid="{00000000-0005-0000-0000-00009B0C0000}"/>
    <cellStyle name="Note 2 12 4 3" xfId="5465" xr:uid="{00000000-0005-0000-0000-00009C0C0000}"/>
    <cellStyle name="Note 2 12 5" xfId="1212" xr:uid="{00000000-0005-0000-0000-00009D0C0000}"/>
    <cellStyle name="Note 2 12 5 2" xfId="3568" xr:uid="{00000000-0005-0000-0000-00009E0C0000}"/>
    <cellStyle name="Note 2 12 5 3" xfId="5466" xr:uid="{00000000-0005-0000-0000-00009F0C0000}"/>
    <cellStyle name="Note 2 12 6" xfId="1213" xr:uid="{00000000-0005-0000-0000-0000A00C0000}"/>
    <cellStyle name="Note 2 12 6 2" xfId="3569" xr:uid="{00000000-0005-0000-0000-0000A10C0000}"/>
    <cellStyle name="Note 2 12 6 3" xfId="5467" xr:uid="{00000000-0005-0000-0000-0000A20C0000}"/>
    <cellStyle name="Note 2 12 7" xfId="1214" xr:uid="{00000000-0005-0000-0000-0000A30C0000}"/>
    <cellStyle name="Note 2 12 7 2" xfId="3570" xr:uid="{00000000-0005-0000-0000-0000A40C0000}"/>
    <cellStyle name="Note 2 12 7 3" xfId="5468" xr:uid="{00000000-0005-0000-0000-0000A50C0000}"/>
    <cellStyle name="Note 2 12 8" xfId="1215" xr:uid="{00000000-0005-0000-0000-0000A60C0000}"/>
    <cellStyle name="Note 2 12 8 2" xfId="3571" xr:uid="{00000000-0005-0000-0000-0000A70C0000}"/>
    <cellStyle name="Note 2 12 8 3" xfId="5469" xr:uid="{00000000-0005-0000-0000-0000A80C0000}"/>
    <cellStyle name="Note 2 12 9" xfId="1216" xr:uid="{00000000-0005-0000-0000-0000A90C0000}"/>
    <cellStyle name="Note 2 12 9 2" xfId="3572" xr:uid="{00000000-0005-0000-0000-0000AA0C0000}"/>
    <cellStyle name="Note 2 12 9 3" xfId="5470" xr:uid="{00000000-0005-0000-0000-0000AB0C0000}"/>
    <cellStyle name="Note 2 13" xfId="1217" xr:uid="{00000000-0005-0000-0000-0000AC0C0000}"/>
    <cellStyle name="Note 2 13 10" xfId="1218" xr:uid="{00000000-0005-0000-0000-0000AD0C0000}"/>
    <cellStyle name="Note 2 13 10 2" xfId="3574" xr:uid="{00000000-0005-0000-0000-0000AE0C0000}"/>
    <cellStyle name="Note 2 13 10 3" xfId="5472" xr:uid="{00000000-0005-0000-0000-0000AF0C0000}"/>
    <cellStyle name="Note 2 13 11" xfId="1219" xr:uid="{00000000-0005-0000-0000-0000B00C0000}"/>
    <cellStyle name="Note 2 13 11 2" xfId="3575" xr:uid="{00000000-0005-0000-0000-0000B10C0000}"/>
    <cellStyle name="Note 2 13 11 3" xfId="5473" xr:uid="{00000000-0005-0000-0000-0000B20C0000}"/>
    <cellStyle name="Note 2 13 12" xfId="1220" xr:uid="{00000000-0005-0000-0000-0000B30C0000}"/>
    <cellStyle name="Note 2 13 12 2" xfId="3576" xr:uid="{00000000-0005-0000-0000-0000B40C0000}"/>
    <cellStyle name="Note 2 13 12 3" xfId="5474" xr:uid="{00000000-0005-0000-0000-0000B50C0000}"/>
    <cellStyle name="Note 2 13 13" xfId="1221" xr:uid="{00000000-0005-0000-0000-0000B60C0000}"/>
    <cellStyle name="Note 2 13 13 2" xfId="3577" xr:uid="{00000000-0005-0000-0000-0000B70C0000}"/>
    <cellStyle name="Note 2 13 13 3" xfId="5475" xr:uid="{00000000-0005-0000-0000-0000B80C0000}"/>
    <cellStyle name="Note 2 13 14" xfId="1222" xr:uid="{00000000-0005-0000-0000-0000B90C0000}"/>
    <cellStyle name="Note 2 13 14 2" xfId="3578" xr:uid="{00000000-0005-0000-0000-0000BA0C0000}"/>
    <cellStyle name="Note 2 13 14 3" xfId="5476" xr:uid="{00000000-0005-0000-0000-0000BB0C0000}"/>
    <cellStyle name="Note 2 13 15" xfId="1223" xr:uid="{00000000-0005-0000-0000-0000BC0C0000}"/>
    <cellStyle name="Note 2 13 15 2" xfId="3579" xr:uid="{00000000-0005-0000-0000-0000BD0C0000}"/>
    <cellStyle name="Note 2 13 15 3" xfId="5477" xr:uid="{00000000-0005-0000-0000-0000BE0C0000}"/>
    <cellStyle name="Note 2 13 16" xfId="1224" xr:uid="{00000000-0005-0000-0000-0000BF0C0000}"/>
    <cellStyle name="Note 2 13 16 2" xfId="3580" xr:uid="{00000000-0005-0000-0000-0000C00C0000}"/>
    <cellStyle name="Note 2 13 16 3" xfId="5478" xr:uid="{00000000-0005-0000-0000-0000C10C0000}"/>
    <cellStyle name="Note 2 13 17" xfId="1225" xr:uid="{00000000-0005-0000-0000-0000C20C0000}"/>
    <cellStyle name="Note 2 13 17 2" xfId="3581" xr:uid="{00000000-0005-0000-0000-0000C30C0000}"/>
    <cellStyle name="Note 2 13 17 3" xfId="5479" xr:uid="{00000000-0005-0000-0000-0000C40C0000}"/>
    <cellStyle name="Note 2 13 18" xfId="1226" xr:uid="{00000000-0005-0000-0000-0000C50C0000}"/>
    <cellStyle name="Note 2 13 18 2" xfId="3582" xr:uid="{00000000-0005-0000-0000-0000C60C0000}"/>
    <cellStyle name="Note 2 13 18 3" xfId="5480" xr:uid="{00000000-0005-0000-0000-0000C70C0000}"/>
    <cellStyle name="Note 2 13 19" xfId="1227" xr:uid="{00000000-0005-0000-0000-0000C80C0000}"/>
    <cellStyle name="Note 2 13 19 2" xfId="3583" xr:uid="{00000000-0005-0000-0000-0000C90C0000}"/>
    <cellStyle name="Note 2 13 19 3" xfId="5481" xr:uid="{00000000-0005-0000-0000-0000CA0C0000}"/>
    <cellStyle name="Note 2 13 2" xfId="1228" xr:uid="{00000000-0005-0000-0000-0000CB0C0000}"/>
    <cellStyle name="Note 2 13 2 2" xfId="3584" xr:uid="{00000000-0005-0000-0000-0000CC0C0000}"/>
    <cellStyle name="Note 2 13 2 3" xfId="5482" xr:uid="{00000000-0005-0000-0000-0000CD0C0000}"/>
    <cellStyle name="Note 2 13 20" xfId="1229" xr:uid="{00000000-0005-0000-0000-0000CE0C0000}"/>
    <cellStyle name="Note 2 13 20 2" xfId="3585" xr:uid="{00000000-0005-0000-0000-0000CF0C0000}"/>
    <cellStyle name="Note 2 13 20 3" xfId="5483" xr:uid="{00000000-0005-0000-0000-0000D00C0000}"/>
    <cellStyle name="Note 2 13 21" xfId="1230" xr:uid="{00000000-0005-0000-0000-0000D10C0000}"/>
    <cellStyle name="Note 2 13 21 2" xfId="3586" xr:uid="{00000000-0005-0000-0000-0000D20C0000}"/>
    <cellStyle name="Note 2 13 21 3" xfId="5484" xr:uid="{00000000-0005-0000-0000-0000D30C0000}"/>
    <cellStyle name="Note 2 13 22" xfId="1231" xr:uid="{00000000-0005-0000-0000-0000D40C0000}"/>
    <cellStyle name="Note 2 13 22 2" xfId="3587" xr:uid="{00000000-0005-0000-0000-0000D50C0000}"/>
    <cellStyle name="Note 2 13 22 3" xfId="5485" xr:uid="{00000000-0005-0000-0000-0000D60C0000}"/>
    <cellStyle name="Note 2 13 23" xfId="1232" xr:uid="{00000000-0005-0000-0000-0000D70C0000}"/>
    <cellStyle name="Note 2 13 23 2" xfId="3588" xr:uid="{00000000-0005-0000-0000-0000D80C0000}"/>
    <cellStyle name="Note 2 13 23 3" xfId="5486" xr:uid="{00000000-0005-0000-0000-0000D90C0000}"/>
    <cellStyle name="Note 2 13 24" xfId="3573" xr:uid="{00000000-0005-0000-0000-0000DA0C0000}"/>
    <cellStyle name="Note 2 13 25" xfId="5471" xr:uid="{00000000-0005-0000-0000-0000DB0C0000}"/>
    <cellStyle name="Note 2 13 3" xfId="1233" xr:uid="{00000000-0005-0000-0000-0000DC0C0000}"/>
    <cellStyle name="Note 2 13 3 2" xfId="3589" xr:uid="{00000000-0005-0000-0000-0000DD0C0000}"/>
    <cellStyle name="Note 2 13 3 3" xfId="5487" xr:uid="{00000000-0005-0000-0000-0000DE0C0000}"/>
    <cellStyle name="Note 2 13 4" xfId="1234" xr:uid="{00000000-0005-0000-0000-0000DF0C0000}"/>
    <cellStyle name="Note 2 13 4 2" xfId="3590" xr:uid="{00000000-0005-0000-0000-0000E00C0000}"/>
    <cellStyle name="Note 2 13 4 3" xfId="5488" xr:uid="{00000000-0005-0000-0000-0000E10C0000}"/>
    <cellStyle name="Note 2 13 5" xfId="1235" xr:uid="{00000000-0005-0000-0000-0000E20C0000}"/>
    <cellStyle name="Note 2 13 5 2" xfId="3591" xr:uid="{00000000-0005-0000-0000-0000E30C0000}"/>
    <cellStyle name="Note 2 13 5 3" xfId="5489" xr:uid="{00000000-0005-0000-0000-0000E40C0000}"/>
    <cellStyle name="Note 2 13 6" xfId="1236" xr:uid="{00000000-0005-0000-0000-0000E50C0000}"/>
    <cellStyle name="Note 2 13 6 2" xfId="3592" xr:uid="{00000000-0005-0000-0000-0000E60C0000}"/>
    <cellStyle name="Note 2 13 6 3" xfId="5490" xr:uid="{00000000-0005-0000-0000-0000E70C0000}"/>
    <cellStyle name="Note 2 13 7" xfId="1237" xr:uid="{00000000-0005-0000-0000-0000E80C0000}"/>
    <cellStyle name="Note 2 13 7 2" xfId="3593" xr:uid="{00000000-0005-0000-0000-0000E90C0000}"/>
    <cellStyle name="Note 2 13 7 3" xfId="5491" xr:uid="{00000000-0005-0000-0000-0000EA0C0000}"/>
    <cellStyle name="Note 2 13 8" xfId="1238" xr:uid="{00000000-0005-0000-0000-0000EB0C0000}"/>
    <cellStyle name="Note 2 13 8 2" xfId="3594" xr:uid="{00000000-0005-0000-0000-0000EC0C0000}"/>
    <cellStyle name="Note 2 13 8 3" xfId="5492" xr:uid="{00000000-0005-0000-0000-0000ED0C0000}"/>
    <cellStyle name="Note 2 13 9" xfId="1239" xr:uid="{00000000-0005-0000-0000-0000EE0C0000}"/>
    <cellStyle name="Note 2 13 9 2" xfId="3595" xr:uid="{00000000-0005-0000-0000-0000EF0C0000}"/>
    <cellStyle name="Note 2 13 9 3" xfId="5493" xr:uid="{00000000-0005-0000-0000-0000F00C0000}"/>
    <cellStyle name="Note 2 14" xfId="1240" xr:uid="{00000000-0005-0000-0000-0000F10C0000}"/>
    <cellStyle name="Note 2 14 10" xfId="1241" xr:uid="{00000000-0005-0000-0000-0000F20C0000}"/>
    <cellStyle name="Note 2 14 10 2" xfId="3597" xr:uid="{00000000-0005-0000-0000-0000F30C0000}"/>
    <cellStyle name="Note 2 14 10 3" xfId="5495" xr:uid="{00000000-0005-0000-0000-0000F40C0000}"/>
    <cellStyle name="Note 2 14 11" xfId="1242" xr:uid="{00000000-0005-0000-0000-0000F50C0000}"/>
    <cellStyle name="Note 2 14 11 2" xfId="3598" xr:uid="{00000000-0005-0000-0000-0000F60C0000}"/>
    <cellStyle name="Note 2 14 11 3" xfId="5496" xr:uid="{00000000-0005-0000-0000-0000F70C0000}"/>
    <cellStyle name="Note 2 14 12" xfId="1243" xr:uid="{00000000-0005-0000-0000-0000F80C0000}"/>
    <cellStyle name="Note 2 14 12 2" xfId="3599" xr:uid="{00000000-0005-0000-0000-0000F90C0000}"/>
    <cellStyle name="Note 2 14 12 3" xfId="5497" xr:uid="{00000000-0005-0000-0000-0000FA0C0000}"/>
    <cellStyle name="Note 2 14 13" xfId="1244" xr:uid="{00000000-0005-0000-0000-0000FB0C0000}"/>
    <cellStyle name="Note 2 14 13 2" xfId="3600" xr:uid="{00000000-0005-0000-0000-0000FC0C0000}"/>
    <cellStyle name="Note 2 14 13 3" xfId="5498" xr:uid="{00000000-0005-0000-0000-0000FD0C0000}"/>
    <cellStyle name="Note 2 14 14" xfId="1245" xr:uid="{00000000-0005-0000-0000-0000FE0C0000}"/>
    <cellStyle name="Note 2 14 14 2" xfId="3601" xr:uid="{00000000-0005-0000-0000-0000FF0C0000}"/>
    <cellStyle name="Note 2 14 14 3" xfId="5499" xr:uid="{00000000-0005-0000-0000-0000000D0000}"/>
    <cellStyle name="Note 2 14 15" xfId="1246" xr:uid="{00000000-0005-0000-0000-0000010D0000}"/>
    <cellStyle name="Note 2 14 15 2" xfId="3602" xr:uid="{00000000-0005-0000-0000-0000020D0000}"/>
    <cellStyle name="Note 2 14 15 3" xfId="5500" xr:uid="{00000000-0005-0000-0000-0000030D0000}"/>
    <cellStyle name="Note 2 14 16" xfId="1247" xr:uid="{00000000-0005-0000-0000-0000040D0000}"/>
    <cellStyle name="Note 2 14 16 2" xfId="3603" xr:uid="{00000000-0005-0000-0000-0000050D0000}"/>
    <cellStyle name="Note 2 14 16 3" xfId="5501" xr:uid="{00000000-0005-0000-0000-0000060D0000}"/>
    <cellStyle name="Note 2 14 17" xfId="1248" xr:uid="{00000000-0005-0000-0000-0000070D0000}"/>
    <cellStyle name="Note 2 14 17 2" xfId="3604" xr:uid="{00000000-0005-0000-0000-0000080D0000}"/>
    <cellStyle name="Note 2 14 17 3" xfId="5502" xr:uid="{00000000-0005-0000-0000-0000090D0000}"/>
    <cellStyle name="Note 2 14 18" xfId="1249" xr:uid="{00000000-0005-0000-0000-00000A0D0000}"/>
    <cellStyle name="Note 2 14 18 2" xfId="3605" xr:uid="{00000000-0005-0000-0000-00000B0D0000}"/>
    <cellStyle name="Note 2 14 18 3" xfId="5503" xr:uid="{00000000-0005-0000-0000-00000C0D0000}"/>
    <cellStyle name="Note 2 14 19" xfId="1250" xr:uid="{00000000-0005-0000-0000-00000D0D0000}"/>
    <cellStyle name="Note 2 14 19 2" xfId="3606" xr:uid="{00000000-0005-0000-0000-00000E0D0000}"/>
    <cellStyle name="Note 2 14 19 3" xfId="5504" xr:uid="{00000000-0005-0000-0000-00000F0D0000}"/>
    <cellStyle name="Note 2 14 2" xfId="1251" xr:uid="{00000000-0005-0000-0000-0000100D0000}"/>
    <cellStyle name="Note 2 14 2 2" xfId="3607" xr:uid="{00000000-0005-0000-0000-0000110D0000}"/>
    <cellStyle name="Note 2 14 2 3" xfId="5505" xr:uid="{00000000-0005-0000-0000-0000120D0000}"/>
    <cellStyle name="Note 2 14 20" xfId="1252" xr:uid="{00000000-0005-0000-0000-0000130D0000}"/>
    <cellStyle name="Note 2 14 20 2" xfId="3608" xr:uid="{00000000-0005-0000-0000-0000140D0000}"/>
    <cellStyle name="Note 2 14 20 3" xfId="5506" xr:uid="{00000000-0005-0000-0000-0000150D0000}"/>
    <cellStyle name="Note 2 14 21" xfId="1253" xr:uid="{00000000-0005-0000-0000-0000160D0000}"/>
    <cellStyle name="Note 2 14 21 2" xfId="3609" xr:uid="{00000000-0005-0000-0000-0000170D0000}"/>
    <cellStyle name="Note 2 14 21 3" xfId="5507" xr:uid="{00000000-0005-0000-0000-0000180D0000}"/>
    <cellStyle name="Note 2 14 22" xfId="1254" xr:uid="{00000000-0005-0000-0000-0000190D0000}"/>
    <cellStyle name="Note 2 14 22 2" xfId="3610" xr:uid="{00000000-0005-0000-0000-00001A0D0000}"/>
    <cellStyle name="Note 2 14 22 3" xfId="5508" xr:uid="{00000000-0005-0000-0000-00001B0D0000}"/>
    <cellStyle name="Note 2 14 23" xfId="1255" xr:uid="{00000000-0005-0000-0000-00001C0D0000}"/>
    <cellStyle name="Note 2 14 23 2" xfId="3611" xr:uid="{00000000-0005-0000-0000-00001D0D0000}"/>
    <cellStyle name="Note 2 14 23 3" xfId="5509" xr:uid="{00000000-0005-0000-0000-00001E0D0000}"/>
    <cellStyle name="Note 2 14 24" xfId="3596" xr:uid="{00000000-0005-0000-0000-00001F0D0000}"/>
    <cellStyle name="Note 2 14 25" xfId="5494" xr:uid="{00000000-0005-0000-0000-0000200D0000}"/>
    <cellStyle name="Note 2 14 3" xfId="1256" xr:uid="{00000000-0005-0000-0000-0000210D0000}"/>
    <cellStyle name="Note 2 14 3 2" xfId="3612" xr:uid="{00000000-0005-0000-0000-0000220D0000}"/>
    <cellStyle name="Note 2 14 3 3" xfId="5510" xr:uid="{00000000-0005-0000-0000-0000230D0000}"/>
    <cellStyle name="Note 2 14 4" xfId="1257" xr:uid="{00000000-0005-0000-0000-0000240D0000}"/>
    <cellStyle name="Note 2 14 4 2" xfId="3613" xr:uid="{00000000-0005-0000-0000-0000250D0000}"/>
    <cellStyle name="Note 2 14 4 3" xfId="5511" xr:uid="{00000000-0005-0000-0000-0000260D0000}"/>
    <cellStyle name="Note 2 14 5" xfId="1258" xr:uid="{00000000-0005-0000-0000-0000270D0000}"/>
    <cellStyle name="Note 2 14 5 2" xfId="3614" xr:uid="{00000000-0005-0000-0000-0000280D0000}"/>
    <cellStyle name="Note 2 14 5 3" xfId="5512" xr:uid="{00000000-0005-0000-0000-0000290D0000}"/>
    <cellStyle name="Note 2 14 6" xfId="1259" xr:uid="{00000000-0005-0000-0000-00002A0D0000}"/>
    <cellStyle name="Note 2 14 6 2" xfId="3615" xr:uid="{00000000-0005-0000-0000-00002B0D0000}"/>
    <cellStyle name="Note 2 14 6 3" xfId="5513" xr:uid="{00000000-0005-0000-0000-00002C0D0000}"/>
    <cellStyle name="Note 2 14 7" xfId="1260" xr:uid="{00000000-0005-0000-0000-00002D0D0000}"/>
    <cellStyle name="Note 2 14 7 2" xfId="3616" xr:uid="{00000000-0005-0000-0000-00002E0D0000}"/>
    <cellStyle name="Note 2 14 7 3" xfId="5514" xr:uid="{00000000-0005-0000-0000-00002F0D0000}"/>
    <cellStyle name="Note 2 14 8" xfId="1261" xr:uid="{00000000-0005-0000-0000-0000300D0000}"/>
    <cellStyle name="Note 2 14 8 2" xfId="3617" xr:uid="{00000000-0005-0000-0000-0000310D0000}"/>
    <cellStyle name="Note 2 14 8 3" xfId="5515" xr:uid="{00000000-0005-0000-0000-0000320D0000}"/>
    <cellStyle name="Note 2 14 9" xfId="1262" xr:uid="{00000000-0005-0000-0000-0000330D0000}"/>
    <cellStyle name="Note 2 14 9 2" xfId="3618" xr:uid="{00000000-0005-0000-0000-0000340D0000}"/>
    <cellStyle name="Note 2 14 9 3" xfId="5516" xr:uid="{00000000-0005-0000-0000-0000350D0000}"/>
    <cellStyle name="Note 2 15" xfId="1263" xr:uid="{00000000-0005-0000-0000-0000360D0000}"/>
    <cellStyle name="Note 2 15 10" xfId="1264" xr:uid="{00000000-0005-0000-0000-0000370D0000}"/>
    <cellStyle name="Note 2 15 10 2" xfId="3620" xr:uid="{00000000-0005-0000-0000-0000380D0000}"/>
    <cellStyle name="Note 2 15 10 3" xfId="5518" xr:uid="{00000000-0005-0000-0000-0000390D0000}"/>
    <cellStyle name="Note 2 15 11" xfId="1265" xr:uid="{00000000-0005-0000-0000-00003A0D0000}"/>
    <cellStyle name="Note 2 15 11 2" xfId="3621" xr:uid="{00000000-0005-0000-0000-00003B0D0000}"/>
    <cellStyle name="Note 2 15 11 3" xfId="5519" xr:uid="{00000000-0005-0000-0000-00003C0D0000}"/>
    <cellStyle name="Note 2 15 12" xfId="1266" xr:uid="{00000000-0005-0000-0000-00003D0D0000}"/>
    <cellStyle name="Note 2 15 12 2" xfId="3622" xr:uid="{00000000-0005-0000-0000-00003E0D0000}"/>
    <cellStyle name="Note 2 15 12 3" xfId="5520" xr:uid="{00000000-0005-0000-0000-00003F0D0000}"/>
    <cellStyle name="Note 2 15 13" xfId="1267" xr:uid="{00000000-0005-0000-0000-0000400D0000}"/>
    <cellStyle name="Note 2 15 13 2" xfId="3623" xr:uid="{00000000-0005-0000-0000-0000410D0000}"/>
    <cellStyle name="Note 2 15 13 3" xfId="5521" xr:uid="{00000000-0005-0000-0000-0000420D0000}"/>
    <cellStyle name="Note 2 15 14" xfId="1268" xr:uid="{00000000-0005-0000-0000-0000430D0000}"/>
    <cellStyle name="Note 2 15 14 2" xfId="3624" xr:uid="{00000000-0005-0000-0000-0000440D0000}"/>
    <cellStyle name="Note 2 15 14 3" xfId="5522" xr:uid="{00000000-0005-0000-0000-0000450D0000}"/>
    <cellStyle name="Note 2 15 15" xfId="1269" xr:uid="{00000000-0005-0000-0000-0000460D0000}"/>
    <cellStyle name="Note 2 15 15 2" xfId="3625" xr:uid="{00000000-0005-0000-0000-0000470D0000}"/>
    <cellStyle name="Note 2 15 15 3" xfId="5523" xr:uid="{00000000-0005-0000-0000-0000480D0000}"/>
    <cellStyle name="Note 2 15 16" xfId="1270" xr:uid="{00000000-0005-0000-0000-0000490D0000}"/>
    <cellStyle name="Note 2 15 16 2" xfId="3626" xr:uid="{00000000-0005-0000-0000-00004A0D0000}"/>
    <cellStyle name="Note 2 15 16 3" xfId="5524" xr:uid="{00000000-0005-0000-0000-00004B0D0000}"/>
    <cellStyle name="Note 2 15 17" xfId="1271" xr:uid="{00000000-0005-0000-0000-00004C0D0000}"/>
    <cellStyle name="Note 2 15 17 2" xfId="3627" xr:uid="{00000000-0005-0000-0000-00004D0D0000}"/>
    <cellStyle name="Note 2 15 17 3" xfId="5525" xr:uid="{00000000-0005-0000-0000-00004E0D0000}"/>
    <cellStyle name="Note 2 15 18" xfId="1272" xr:uid="{00000000-0005-0000-0000-00004F0D0000}"/>
    <cellStyle name="Note 2 15 18 2" xfId="3628" xr:uid="{00000000-0005-0000-0000-0000500D0000}"/>
    <cellStyle name="Note 2 15 18 3" xfId="5526" xr:uid="{00000000-0005-0000-0000-0000510D0000}"/>
    <cellStyle name="Note 2 15 19" xfId="1273" xr:uid="{00000000-0005-0000-0000-0000520D0000}"/>
    <cellStyle name="Note 2 15 19 2" xfId="3629" xr:uid="{00000000-0005-0000-0000-0000530D0000}"/>
    <cellStyle name="Note 2 15 19 3" xfId="5527" xr:uid="{00000000-0005-0000-0000-0000540D0000}"/>
    <cellStyle name="Note 2 15 2" xfId="1274" xr:uid="{00000000-0005-0000-0000-0000550D0000}"/>
    <cellStyle name="Note 2 15 2 2" xfId="3630" xr:uid="{00000000-0005-0000-0000-0000560D0000}"/>
    <cellStyle name="Note 2 15 2 3" xfId="5528" xr:uid="{00000000-0005-0000-0000-0000570D0000}"/>
    <cellStyle name="Note 2 15 20" xfId="1275" xr:uid="{00000000-0005-0000-0000-0000580D0000}"/>
    <cellStyle name="Note 2 15 20 2" xfId="3631" xr:uid="{00000000-0005-0000-0000-0000590D0000}"/>
    <cellStyle name="Note 2 15 20 3" xfId="5529" xr:uid="{00000000-0005-0000-0000-00005A0D0000}"/>
    <cellStyle name="Note 2 15 21" xfId="1276" xr:uid="{00000000-0005-0000-0000-00005B0D0000}"/>
    <cellStyle name="Note 2 15 21 2" xfId="3632" xr:uid="{00000000-0005-0000-0000-00005C0D0000}"/>
    <cellStyle name="Note 2 15 21 3" xfId="5530" xr:uid="{00000000-0005-0000-0000-00005D0D0000}"/>
    <cellStyle name="Note 2 15 22" xfId="1277" xr:uid="{00000000-0005-0000-0000-00005E0D0000}"/>
    <cellStyle name="Note 2 15 22 2" xfId="3633" xr:uid="{00000000-0005-0000-0000-00005F0D0000}"/>
    <cellStyle name="Note 2 15 22 3" xfId="5531" xr:uid="{00000000-0005-0000-0000-0000600D0000}"/>
    <cellStyle name="Note 2 15 23" xfId="1278" xr:uid="{00000000-0005-0000-0000-0000610D0000}"/>
    <cellStyle name="Note 2 15 23 2" xfId="3634" xr:uid="{00000000-0005-0000-0000-0000620D0000}"/>
    <cellStyle name="Note 2 15 23 3" xfId="5532" xr:uid="{00000000-0005-0000-0000-0000630D0000}"/>
    <cellStyle name="Note 2 15 24" xfId="3619" xr:uid="{00000000-0005-0000-0000-0000640D0000}"/>
    <cellStyle name="Note 2 15 25" xfId="5517" xr:uid="{00000000-0005-0000-0000-0000650D0000}"/>
    <cellStyle name="Note 2 15 3" xfId="1279" xr:uid="{00000000-0005-0000-0000-0000660D0000}"/>
    <cellStyle name="Note 2 15 3 2" xfId="3635" xr:uid="{00000000-0005-0000-0000-0000670D0000}"/>
    <cellStyle name="Note 2 15 3 3" xfId="5533" xr:uid="{00000000-0005-0000-0000-0000680D0000}"/>
    <cellStyle name="Note 2 15 4" xfId="1280" xr:uid="{00000000-0005-0000-0000-0000690D0000}"/>
    <cellStyle name="Note 2 15 4 2" xfId="3636" xr:uid="{00000000-0005-0000-0000-00006A0D0000}"/>
    <cellStyle name="Note 2 15 4 3" xfId="5534" xr:uid="{00000000-0005-0000-0000-00006B0D0000}"/>
    <cellStyle name="Note 2 15 5" xfId="1281" xr:uid="{00000000-0005-0000-0000-00006C0D0000}"/>
    <cellStyle name="Note 2 15 5 2" xfId="3637" xr:uid="{00000000-0005-0000-0000-00006D0D0000}"/>
    <cellStyle name="Note 2 15 5 3" xfId="5535" xr:uid="{00000000-0005-0000-0000-00006E0D0000}"/>
    <cellStyle name="Note 2 15 6" xfId="1282" xr:uid="{00000000-0005-0000-0000-00006F0D0000}"/>
    <cellStyle name="Note 2 15 6 2" xfId="3638" xr:uid="{00000000-0005-0000-0000-0000700D0000}"/>
    <cellStyle name="Note 2 15 6 3" xfId="5536" xr:uid="{00000000-0005-0000-0000-0000710D0000}"/>
    <cellStyle name="Note 2 15 7" xfId="1283" xr:uid="{00000000-0005-0000-0000-0000720D0000}"/>
    <cellStyle name="Note 2 15 7 2" xfId="3639" xr:uid="{00000000-0005-0000-0000-0000730D0000}"/>
    <cellStyle name="Note 2 15 7 3" xfId="5537" xr:uid="{00000000-0005-0000-0000-0000740D0000}"/>
    <cellStyle name="Note 2 15 8" xfId="1284" xr:uid="{00000000-0005-0000-0000-0000750D0000}"/>
    <cellStyle name="Note 2 15 8 2" xfId="3640" xr:uid="{00000000-0005-0000-0000-0000760D0000}"/>
    <cellStyle name="Note 2 15 8 3" xfId="5538" xr:uid="{00000000-0005-0000-0000-0000770D0000}"/>
    <cellStyle name="Note 2 15 9" xfId="1285" xr:uid="{00000000-0005-0000-0000-0000780D0000}"/>
    <cellStyle name="Note 2 15 9 2" xfId="3641" xr:uid="{00000000-0005-0000-0000-0000790D0000}"/>
    <cellStyle name="Note 2 15 9 3" xfId="5539" xr:uid="{00000000-0005-0000-0000-00007A0D0000}"/>
    <cellStyle name="Note 2 16" xfId="1286" xr:uid="{00000000-0005-0000-0000-00007B0D0000}"/>
    <cellStyle name="Note 2 16 2" xfId="3642" xr:uid="{00000000-0005-0000-0000-00007C0D0000}"/>
    <cellStyle name="Note 2 16 3" xfId="5540" xr:uid="{00000000-0005-0000-0000-00007D0D0000}"/>
    <cellStyle name="Note 2 17" xfId="1287" xr:uid="{00000000-0005-0000-0000-00007E0D0000}"/>
    <cellStyle name="Note 2 17 2" xfId="3643" xr:uid="{00000000-0005-0000-0000-00007F0D0000}"/>
    <cellStyle name="Note 2 17 3" xfId="5541" xr:uid="{00000000-0005-0000-0000-0000800D0000}"/>
    <cellStyle name="Note 2 18" xfId="1288" xr:uid="{00000000-0005-0000-0000-0000810D0000}"/>
    <cellStyle name="Note 2 18 2" xfId="3644" xr:uid="{00000000-0005-0000-0000-0000820D0000}"/>
    <cellStyle name="Note 2 18 3" xfId="5542" xr:uid="{00000000-0005-0000-0000-0000830D0000}"/>
    <cellStyle name="Note 2 19" xfId="1289" xr:uid="{00000000-0005-0000-0000-0000840D0000}"/>
    <cellStyle name="Note 2 19 2" xfId="3645" xr:uid="{00000000-0005-0000-0000-0000850D0000}"/>
    <cellStyle name="Note 2 19 3" xfId="5543" xr:uid="{00000000-0005-0000-0000-0000860D0000}"/>
    <cellStyle name="Note 2 2" xfId="1290" xr:uid="{00000000-0005-0000-0000-0000870D0000}"/>
    <cellStyle name="Note 2 2 10" xfId="1291" xr:uid="{00000000-0005-0000-0000-0000880D0000}"/>
    <cellStyle name="Note 2 2 10 2" xfId="3647" xr:uid="{00000000-0005-0000-0000-0000890D0000}"/>
    <cellStyle name="Note 2 2 10 3" xfId="5545" xr:uid="{00000000-0005-0000-0000-00008A0D0000}"/>
    <cellStyle name="Note 2 2 11" xfId="1292" xr:uid="{00000000-0005-0000-0000-00008B0D0000}"/>
    <cellStyle name="Note 2 2 11 2" xfId="3648" xr:uid="{00000000-0005-0000-0000-00008C0D0000}"/>
    <cellStyle name="Note 2 2 11 3" xfId="5546" xr:uid="{00000000-0005-0000-0000-00008D0D0000}"/>
    <cellStyle name="Note 2 2 12" xfId="1293" xr:uid="{00000000-0005-0000-0000-00008E0D0000}"/>
    <cellStyle name="Note 2 2 12 2" xfId="3649" xr:uid="{00000000-0005-0000-0000-00008F0D0000}"/>
    <cellStyle name="Note 2 2 12 3" xfId="5547" xr:uid="{00000000-0005-0000-0000-0000900D0000}"/>
    <cellStyle name="Note 2 2 13" xfId="1294" xr:uid="{00000000-0005-0000-0000-0000910D0000}"/>
    <cellStyle name="Note 2 2 13 2" xfId="3650" xr:uid="{00000000-0005-0000-0000-0000920D0000}"/>
    <cellStyle name="Note 2 2 13 3" xfId="5548" xr:uid="{00000000-0005-0000-0000-0000930D0000}"/>
    <cellStyle name="Note 2 2 14" xfId="1295" xr:uid="{00000000-0005-0000-0000-0000940D0000}"/>
    <cellStyle name="Note 2 2 14 2" xfId="3651" xr:uid="{00000000-0005-0000-0000-0000950D0000}"/>
    <cellStyle name="Note 2 2 14 3" xfId="5549" xr:uid="{00000000-0005-0000-0000-0000960D0000}"/>
    <cellStyle name="Note 2 2 15" xfId="1296" xr:uid="{00000000-0005-0000-0000-0000970D0000}"/>
    <cellStyle name="Note 2 2 15 2" xfId="3652" xr:uid="{00000000-0005-0000-0000-0000980D0000}"/>
    <cellStyle name="Note 2 2 15 3" xfId="5550" xr:uid="{00000000-0005-0000-0000-0000990D0000}"/>
    <cellStyle name="Note 2 2 16" xfId="1297" xr:uid="{00000000-0005-0000-0000-00009A0D0000}"/>
    <cellStyle name="Note 2 2 16 2" xfId="3653" xr:uid="{00000000-0005-0000-0000-00009B0D0000}"/>
    <cellStyle name="Note 2 2 16 3" xfId="5551" xr:uid="{00000000-0005-0000-0000-00009C0D0000}"/>
    <cellStyle name="Note 2 2 17" xfId="1298" xr:uid="{00000000-0005-0000-0000-00009D0D0000}"/>
    <cellStyle name="Note 2 2 17 2" xfId="3654" xr:uid="{00000000-0005-0000-0000-00009E0D0000}"/>
    <cellStyle name="Note 2 2 17 3" xfId="5552" xr:uid="{00000000-0005-0000-0000-00009F0D0000}"/>
    <cellStyle name="Note 2 2 18" xfId="1299" xr:uid="{00000000-0005-0000-0000-0000A00D0000}"/>
    <cellStyle name="Note 2 2 18 2" xfId="3655" xr:uid="{00000000-0005-0000-0000-0000A10D0000}"/>
    <cellStyle name="Note 2 2 18 3" xfId="5553" xr:uid="{00000000-0005-0000-0000-0000A20D0000}"/>
    <cellStyle name="Note 2 2 19" xfId="1300" xr:uid="{00000000-0005-0000-0000-0000A30D0000}"/>
    <cellStyle name="Note 2 2 19 2" xfId="3656" xr:uid="{00000000-0005-0000-0000-0000A40D0000}"/>
    <cellStyle name="Note 2 2 19 3" xfId="5554" xr:uid="{00000000-0005-0000-0000-0000A50D0000}"/>
    <cellStyle name="Note 2 2 2" xfId="1301" xr:uid="{00000000-0005-0000-0000-0000A60D0000}"/>
    <cellStyle name="Note 2 2 2 2" xfId="3657" xr:uid="{00000000-0005-0000-0000-0000A70D0000}"/>
    <cellStyle name="Note 2 2 2 3" xfId="5555" xr:uid="{00000000-0005-0000-0000-0000A80D0000}"/>
    <cellStyle name="Note 2 2 20" xfId="1302" xr:uid="{00000000-0005-0000-0000-0000A90D0000}"/>
    <cellStyle name="Note 2 2 20 2" xfId="3658" xr:uid="{00000000-0005-0000-0000-0000AA0D0000}"/>
    <cellStyle name="Note 2 2 20 3" xfId="5556" xr:uid="{00000000-0005-0000-0000-0000AB0D0000}"/>
    <cellStyle name="Note 2 2 21" xfId="1303" xr:uid="{00000000-0005-0000-0000-0000AC0D0000}"/>
    <cellStyle name="Note 2 2 21 2" xfId="3659" xr:uid="{00000000-0005-0000-0000-0000AD0D0000}"/>
    <cellStyle name="Note 2 2 21 3" xfId="5557" xr:uid="{00000000-0005-0000-0000-0000AE0D0000}"/>
    <cellStyle name="Note 2 2 22" xfId="1304" xr:uid="{00000000-0005-0000-0000-0000AF0D0000}"/>
    <cellStyle name="Note 2 2 22 2" xfId="3660" xr:uid="{00000000-0005-0000-0000-0000B00D0000}"/>
    <cellStyle name="Note 2 2 22 3" xfId="5558" xr:uid="{00000000-0005-0000-0000-0000B10D0000}"/>
    <cellStyle name="Note 2 2 23" xfId="1305" xr:uid="{00000000-0005-0000-0000-0000B20D0000}"/>
    <cellStyle name="Note 2 2 23 2" xfId="3661" xr:uid="{00000000-0005-0000-0000-0000B30D0000}"/>
    <cellStyle name="Note 2 2 23 3" xfId="5559" xr:uid="{00000000-0005-0000-0000-0000B40D0000}"/>
    <cellStyle name="Note 2 2 24" xfId="3646" xr:uid="{00000000-0005-0000-0000-0000B50D0000}"/>
    <cellStyle name="Note 2 2 25" xfId="5544" xr:uid="{00000000-0005-0000-0000-0000B60D0000}"/>
    <cellStyle name="Note 2 2 3" xfId="1306" xr:uid="{00000000-0005-0000-0000-0000B70D0000}"/>
    <cellStyle name="Note 2 2 3 2" xfId="3662" xr:uid="{00000000-0005-0000-0000-0000B80D0000}"/>
    <cellStyle name="Note 2 2 3 3" xfId="5560" xr:uid="{00000000-0005-0000-0000-0000B90D0000}"/>
    <cellStyle name="Note 2 2 4" xfId="1307" xr:uid="{00000000-0005-0000-0000-0000BA0D0000}"/>
    <cellStyle name="Note 2 2 4 2" xfId="3663" xr:uid="{00000000-0005-0000-0000-0000BB0D0000}"/>
    <cellStyle name="Note 2 2 4 3" xfId="5561" xr:uid="{00000000-0005-0000-0000-0000BC0D0000}"/>
    <cellStyle name="Note 2 2 5" xfId="1308" xr:uid="{00000000-0005-0000-0000-0000BD0D0000}"/>
    <cellStyle name="Note 2 2 5 2" xfId="3664" xr:uid="{00000000-0005-0000-0000-0000BE0D0000}"/>
    <cellStyle name="Note 2 2 5 3" xfId="5562" xr:uid="{00000000-0005-0000-0000-0000BF0D0000}"/>
    <cellStyle name="Note 2 2 6" xfId="1309" xr:uid="{00000000-0005-0000-0000-0000C00D0000}"/>
    <cellStyle name="Note 2 2 6 2" xfId="3665" xr:uid="{00000000-0005-0000-0000-0000C10D0000}"/>
    <cellStyle name="Note 2 2 6 3" xfId="5563" xr:uid="{00000000-0005-0000-0000-0000C20D0000}"/>
    <cellStyle name="Note 2 2 7" xfId="1310" xr:uid="{00000000-0005-0000-0000-0000C30D0000}"/>
    <cellStyle name="Note 2 2 7 2" xfId="3666" xr:uid="{00000000-0005-0000-0000-0000C40D0000}"/>
    <cellStyle name="Note 2 2 7 3" xfId="5564" xr:uid="{00000000-0005-0000-0000-0000C50D0000}"/>
    <cellStyle name="Note 2 2 8" xfId="1311" xr:uid="{00000000-0005-0000-0000-0000C60D0000}"/>
    <cellStyle name="Note 2 2 8 2" xfId="3667" xr:uid="{00000000-0005-0000-0000-0000C70D0000}"/>
    <cellStyle name="Note 2 2 8 3" xfId="5565" xr:uid="{00000000-0005-0000-0000-0000C80D0000}"/>
    <cellStyle name="Note 2 2 9" xfId="1312" xr:uid="{00000000-0005-0000-0000-0000C90D0000}"/>
    <cellStyle name="Note 2 2 9 2" xfId="3668" xr:uid="{00000000-0005-0000-0000-0000CA0D0000}"/>
    <cellStyle name="Note 2 2 9 3" xfId="5566" xr:uid="{00000000-0005-0000-0000-0000CB0D0000}"/>
    <cellStyle name="Note 2 20" xfId="1313" xr:uid="{00000000-0005-0000-0000-0000CC0D0000}"/>
    <cellStyle name="Note 2 20 2" xfId="3669" xr:uid="{00000000-0005-0000-0000-0000CD0D0000}"/>
    <cellStyle name="Note 2 20 3" xfId="5567" xr:uid="{00000000-0005-0000-0000-0000CE0D0000}"/>
    <cellStyle name="Note 2 21" xfId="1314" xr:uid="{00000000-0005-0000-0000-0000CF0D0000}"/>
    <cellStyle name="Note 2 21 2" xfId="3670" xr:uid="{00000000-0005-0000-0000-0000D00D0000}"/>
    <cellStyle name="Note 2 21 3" xfId="5568" xr:uid="{00000000-0005-0000-0000-0000D10D0000}"/>
    <cellStyle name="Note 2 22" xfId="1315" xr:uid="{00000000-0005-0000-0000-0000D20D0000}"/>
    <cellStyle name="Note 2 22 2" xfId="3671" xr:uid="{00000000-0005-0000-0000-0000D30D0000}"/>
    <cellStyle name="Note 2 22 3" xfId="5569" xr:uid="{00000000-0005-0000-0000-0000D40D0000}"/>
    <cellStyle name="Note 2 23" xfId="1316" xr:uid="{00000000-0005-0000-0000-0000D50D0000}"/>
    <cellStyle name="Note 2 23 2" xfId="3672" xr:uid="{00000000-0005-0000-0000-0000D60D0000}"/>
    <cellStyle name="Note 2 23 3" xfId="5570" xr:uid="{00000000-0005-0000-0000-0000D70D0000}"/>
    <cellStyle name="Note 2 24" xfId="1317" xr:uid="{00000000-0005-0000-0000-0000D80D0000}"/>
    <cellStyle name="Note 2 24 2" xfId="3673" xr:uid="{00000000-0005-0000-0000-0000D90D0000}"/>
    <cellStyle name="Note 2 24 3" xfId="5571" xr:uid="{00000000-0005-0000-0000-0000DA0D0000}"/>
    <cellStyle name="Note 2 25" xfId="1318" xr:uid="{00000000-0005-0000-0000-0000DB0D0000}"/>
    <cellStyle name="Note 2 25 2" xfId="3674" xr:uid="{00000000-0005-0000-0000-0000DC0D0000}"/>
    <cellStyle name="Note 2 25 3" xfId="5572" xr:uid="{00000000-0005-0000-0000-0000DD0D0000}"/>
    <cellStyle name="Note 2 26" xfId="1319" xr:uid="{00000000-0005-0000-0000-0000DE0D0000}"/>
    <cellStyle name="Note 2 26 2" xfId="3675" xr:uid="{00000000-0005-0000-0000-0000DF0D0000}"/>
    <cellStyle name="Note 2 26 3" xfId="5573" xr:uid="{00000000-0005-0000-0000-0000E00D0000}"/>
    <cellStyle name="Note 2 27" xfId="1320" xr:uid="{00000000-0005-0000-0000-0000E10D0000}"/>
    <cellStyle name="Note 2 27 2" xfId="3676" xr:uid="{00000000-0005-0000-0000-0000E20D0000}"/>
    <cellStyle name="Note 2 27 3" xfId="5574" xr:uid="{00000000-0005-0000-0000-0000E30D0000}"/>
    <cellStyle name="Note 2 28" xfId="1321" xr:uid="{00000000-0005-0000-0000-0000E40D0000}"/>
    <cellStyle name="Note 2 28 2" xfId="3677" xr:uid="{00000000-0005-0000-0000-0000E50D0000}"/>
    <cellStyle name="Note 2 28 3" xfId="5575" xr:uid="{00000000-0005-0000-0000-0000E60D0000}"/>
    <cellStyle name="Note 2 29" xfId="1322" xr:uid="{00000000-0005-0000-0000-0000E70D0000}"/>
    <cellStyle name="Note 2 29 2" xfId="3678" xr:uid="{00000000-0005-0000-0000-0000E80D0000}"/>
    <cellStyle name="Note 2 29 3" xfId="5576" xr:uid="{00000000-0005-0000-0000-0000E90D0000}"/>
    <cellStyle name="Note 2 3" xfId="1323" xr:uid="{00000000-0005-0000-0000-0000EA0D0000}"/>
    <cellStyle name="Note 2 3 10" xfId="1324" xr:uid="{00000000-0005-0000-0000-0000EB0D0000}"/>
    <cellStyle name="Note 2 3 10 2" xfId="3680" xr:uid="{00000000-0005-0000-0000-0000EC0D0000}"/>
    <cellStyle name="Note 2 3 10 3" xfId="5578" xr:uid="{00000000-0005-0000-0000-0000ED0D0000}"/>
    <cellStyle name="Note 2 3 11" xfId="1325" xr:uid="{00000000-0005-0000-0000-0000EE0D0000}"/>
    <cellStyle name="Note 2 3 11 2" xfId="3681" xr:uid="{00000000-0005-0000-0000-0000EF0D0000}"/>
    <cellStyle name="Note 2 3 11 3" xfId="5579" xr:uid="{00000000-0005-0000-0000-0000F00D0000}"/>
    <cellStyle name="Note 2 3 12" xfId="1326" xr:uid="{00000000-0005-0000-0000-0000F10D0000}"/>
    <cellStyle name="Note 2 3 12 2" xfId="3682" xr:uid="{00000000-0005-0000-0000-0000F20D0000}"/>
    <cellStyle name="Note 2 3 12 3" xfId="5580" xr:uid="{00000000-0005-0000-0000-0000F30D0000}"/>
    <cellStyle name="Note 2 3 13" xfId="1327" xr:uid="{00000000-0005-0000-0000-0000F40D0000}"/>
    <cellStyle name="Note 2 3 13 2" xfId="3683" xr:uid="{00000000-0005-0000-0000-0000F50D0000}"/>
    <cellStyle name="Note 2 3 13 3" xfId="5581" xr:uid="{00000000-0005-0000-0000-0000F60D0000}"/>
    <cellStyle name="Note 2 3 14" xfId="1328" xr:uid="{00000000-0005-0000-0000-0000F70D0000}"/>
    <cellStyle name="Note 2 3 14 2" xfId="3684" xr:uid="{00000000-0005-0000-0000-0000F80D0000}"/>
    <cellStyle name="Note 2 3 14 3" xfId="5582" xr:uid="{00000000-0005-0000-0000-0000F90D0000}"/>
    <cellStyle name="Note 2 3 15" xfId="1329" xr:uid="{00000000-0005-0000-0000-0000FA0D0000}"/>
    <cellStyle name="Note 2 3 15 2" xfId="3685" xr:uid="{00000000-0005-0000-0000-0000FB0D0000}"/>
    <cellStyle name="Note 2 3 15 3" xfId="5583" xr:uid="{00000000-0005-0000-0000-0000FC0D0000}"/>
    <cellStyle name="Note 2 3 16" xfId="1330" xr:uid="{00000000-0005-0000-0000-0000FD0D0000}"/>
    <cellStyle name="Note 2 3 16 2" xfId="3686" xr:uid="{00000000-0005-0000-0000-0000FE0D0000}"/>
    <cellStyle name="Note 2 3 16 3" xfId="5584" xr:uid="{00000000-0005-0000-0000-0000FF0D0000}"/>
    <cellStyle name="Note 2 3 17" xfId="1331" xr:uid="{00000000-0005-0000-0000-0000000E0000}"/>
    <cellStyle name="Note 2 3 17 2" xfId="3687" xr:uid="{00000000-0005-0000-0000-0000010E0000}"/>
    <cellStyle name="Note 2 3 17 3" xfId="5585" xr:uid="{00000000-0005-0000-0000-0000020E0000}"/>
    <cellStyle name="Note 2 3 18" xfId="1332" xr:uid="{00000000-0005-0000-0000-0000030E0000}"/>
    <cellStyle name="Note 2 3 18 2" xfId="3688" xr:uid="{00000000-0005-0000-0000-0000040E0000}"/>
    <cellStyle name="Note 2 3 18 3" xfId="5586" xr:uid="{00000000-0005-0000-0000-0000050E0000}"/>
    <cellStyle name="Note 2 3 19" xfId="1333" xr:uid="{00000000-0005-0000-0000-0000060E0000}"/>
    <cellStyle name="Note 2 3 19 2" xfId="3689" xr:uid="{00000000-0005-0000-0000-0000070E0000}"/>
    <cellStyle name="Note 2 3 19 3" xfId="5587" xr:uid="{00000000-0005-0000-0000-0000080E0000}"/>
    <cellStyle name="Note 2 3 2" xfId="1334" xr:uid="{00000000-0005-0000-0000-0000090E0000}"/>
    <cellStyle name="Note 2 3 2 2" xfId="3690" xr:uid="{00000000-0005-0000-0000-00000A0E0000}"/>
    <cellStyle name="Note 2 3 2 3" xfId="5588" xr:uid="{00000000-0005-0000-0000-00000B0E0000}"/>
    <cellStyle name="Note 2 3 20" xfId="1335" xr:uid="{00000000-0005-0000-0000-00000C0E0000}"/>
    <cellStyle name="Note 2 3 20 2" xfId="3691" xr:uid="{00000000-0005-0000-0000-00000D0E0000}"/>
    <cellStyle name="Note 2 3 20 3" xfId="5589" xr:uid="{00000000-0005-0000-0000-00000E0E0000}"/>
    <cellStyle name="Note 2 3 21" xfId="1336" xr:uid="{00000000-0005-0000-0000-00000F0E0000}"/>
    <cellStyle name="Note 2 3 21 2" xfId="3692" xr:uid="{00000000-0005-0000-0000-0000100E0000}"/>
    <cellStyle name="Note 2 3 21 3" xfId="5590" xr:uid="{00000000-0005-0000-0000-0000110E0000}"/>
    <cellStyle name="Note 2 3 22" xfId="1337" xr:uid="{00000000-0005-0000-0000-0000120E0000}"/>
    <cellStyle name="Note 2 3 22 2" xfId="3693" xr:uid="{00000000-0005-0000-0000-0000130E0000}"/>
    <cellStyle name="Note 2 3 22 3" xfId="5591" xr:uid="{00000000-0005-0000-0000-0000140E0000}"/>
    <cellStyle name="Note 2 3 23" xfId="1338" xr:uid="{00000000-0005-0000-0000-0000150E0000}"/>
    <cellStyle name="Note 2 3 23 2" xfId="3694" xr:uid="{00000000-0005-0000-0000-0000160E0000}"/>
    <cellStyle name="Note 2 3 23 3" xfId="5592" xr:uid="{00000000-0005-0000-0000-0000170E0000}"/>
    <cellStyle name="Note 2 3 24" xfId="3679" xr:uid="{00000000-0005-0000-0000-0000180E0000}"/>
    <cellStyle name="Note 2 3 25" xfId="5577" xr:uid="{00000000-0005-0000-0000-0000190E0000}"/>
    <cellStyle name="Note 2 3 3" xfId="1339" xr:uid="{00000000-0005-0000-0000-00001A0E0000}"/>
    <cellStyle name="Note 2 3 3 2" xfId="3695" xr:uid="{00000000-0005-0000-0000-00001B0E0000}"/>
    <cellStyle name="Note 2 3 3 3" xfId="5593" xr:uid="{00000000-0005-0000-0000-00001C0E0000}"/>
    <cellStyle name="Note 2 3 4" xfId="1340" xr:uid="{00000000-0005-0000-0000-00001D0E0000}"/>
    <cellStyle name="Note 2 3 4 2" xfId="3696" xr:uid="{00000000-0005-0000-0000-00001E0E0000}"/>
    <cellStyle name="Note 2 3 4 3" xfId="5594" xr:uid="{00000000-0005-0000-0000-00001F0E0000}"/>
    <cellStyle name="Note 2 3 5" xfId="1341" xr:uid="{00000000-0005-0000-0000-0000200E0000}"/>
    <cellStyle name="Note 2 3 5 2" xfId="3697" xr:uid="{00000000-0005-0000-0000-0000210E0000}"/>
    <cellStyle name="Note 2 3 5 3" xfId="5595" xr:uid="{00000000-0005-0000-0000-0000220E0000}"/>
    <cellStyle name="Note 2 3 6" xfId="1342" xr:uid="{00000000-0005-0000-0000-0000230E0000}"/>
    <cellStyle name="Note 2 3 6 2" xfId="3698" xr:uid="{00000000-0005-0000-0000-0000240E0000}"/>
    <cellStyle name="Note 2 3 6 3" xfId="5596" xr:uid="{00000000-0005-0000-0000-0000250E0000}"/>
    <cellStyle name="Note 2 3 7" xfId="1343" xr:uid="{00000000-0005-0000-0000-0000260E0000}"/>
    <cellStyle name="Note 2 3 7 2" xfId="3699" xr:uid="{00000000-0005-0000-0000-0000270E0000}"/>
    <cellStyle name="Note 2 3 7 3" xfId="5597" xr:uid="{00000000-0005-0000-0000-0000280E0000}"/>
    <cellStyle name="Note 2 3 8" xfId="1344" xr:uid="{00000000-0005-0000-0000-0000290E0000}"/>
    <cellStyle name="Note 2 3 8 2" xfId="3700" xr:uid="{00000000-0005-0000-0000-00002A0E0000}"/>
    <cellStyle name="Note 2 3 8 3" xfId="5598" xr:uid="{00000000-0005-0000-0000-00002B0E0000}"/>
    <cellStyle name="Note 2 3 9" xfId="1345" xr:uid="{00000000-0005-0000-0000-00002C0E0000}"/>
    <cellStyle name="Note 2 3 9 2" xfId="3701" xr:uid="{00000000-0005-0000-0000-00002D0E0000}"/>
    <cellStyle name="Note 2 3 9 3" xfId="5599" xr:uid="{00000000-0005-0000-0000-00002E0E0000}"/>
    <cellStyle name="Note 2 30" xfId="1346" xr:uid="{00000000-0005-0000-0000-00002F0E0000}"/>
    <cellStyle name="Note 2 30 2" xfId="3702" xr:uid="{00000000-0005-0000-0000-0000300E0000}"/>
    <cellStyle name="Note 2 30 3" xfId="5600" xr:uid="{00000000-0005-0000-0000-0000310E0000}"/>
    <cellStyle name="Note 2 31" xfId="1347" xr:uid="{00000000-0005-0000-0000-0000320E0000}"/>
    <cellStyle name="Note 2 31 2" xfId="3703" xr:uid="{00000000-0005-0000-0000-0000330E0000}"/>
    <cellStyle name="Note 2 31 3" xfId="5601" xr:uid="{00000000-0005-0000-0000-0000340E0000}"/>
    <cellStyle name="Note 2 32" xfId="1348" xr:uid="{00000000-0005-0000-0000-0000350E0000}"/>
    <cellStyle name="Note 2 32 2" xfId="3704" xr:uid="{00000000-0005-0000-0000-0000360E0000}"/>
    <cellStyle name="Note 2 32 3" xfId="5602" xr:uid="{00000000-0005-0000-0000-0000370E0000}"/>
    <cellStyle name="Note 2 33" xfId="1349" xr:uid="{00000000-0005-0000-0000-0000380E0000}"/>
    <cellStyle name="Note 2 33 2" xfId="3705" xr:uid="{00000000-0005-0000-0000-0000390E0000}"/>
    <cellStyle name="Note 2 33 3" xfId="5603" xr:uid="{00000000-0005-0000-0000-00003A0E0000}"/>
    <cellStyle name="Note 2 34" xfId="1350" xr:uid="{00000000-0005-0000-0000-00003B0E0000}"/>
    <cellStyle name="Note 2 34 2" xfId="3706" xr:uid="{00000000-0005-0000-0000-00003C0E0000}"/>
    <cellStyle name="Note 2 34 3" xfId="5604" xr:uid="{00000000-0005-0000-0000-00003D0E0000}"/>
    <cellStyle name="Note 2 35" xfId="1351" xr:uid="{00000000-0005-0000-0000-00003E0E0000}"/>
    <cellStyle name="Note 2 35 2" xfId="3707" xr:uid="{00000000-0005-0000-0000-00003F0E0000}"/>
    <cellStyle name="Note 2 35 3" xfId="5605" xr:uid="{00000000-0005-0000-0000-0000400E0000}"/>
    <cellStyle name="Note 2 36" xfId="1352" xr:uid="{00000000-0005-0000-0000-0000410E0000}"/>
    <cellStyle name="Note 2 36 2" xfId="3708" xr:uid="{00000000-0005-0000-0000-0000420E0000}"/>
    <cellStyle name="Note 2 36 3" xfId="5606" xr:uid="{00000000-0005-0000-0000-0000430E0000}"/>
    <cellStyle name="Note 2 37" xfId="1353" xr:uid="{00000000-0005-0000-0000-0000440E0000}"/>
    <cellStyle name="Note 2 37 2" xfId="3709" xr:uid="{00000000-0005-0000-0000-0000450E0000}"/>
    <cellStyle name="Note 2 37 3" xfId="5607" xr:uid="{00000000-0005-0000-0000-0000460E0000}"/>
    <cellStyle name="Note 2 38" xfId="3503" xr:uid="{00000000-0005-0000-0000-0000470E0000}"/>
    <cellStyle name="Note 2 39" xfId="5401" xr:uid="{00000000-0005-0000-0000-0000480E0000}"/>
    <cellStyle name="Note 2 4" xfId="1354" xr:uid="{00000000-0005-0000-0000-0000490E0000}"/>
    <cellStyle name="Note 2 4 10" xfId="1355" xr:uid="{00000000-0005-0000-0000-00004A0E0000}"/>
    <cellStyle name="Note 2 4 10 2" xfId="3711" xr:uid="{00000000-0005-0000-0000-00004B0E0000}"/>
    <cellStyle name="Note 2 4 10 3" xfId="5609" xr:uid="{00000000-0005-0000-0000-00004C0E0000}"/>
    <cellStyle name="Note 2 4 11" xfId="1356" xr:uid="{00000000-0005-0000-0000-00004D0E0000}"/>
    <cellStyle name="Note 2 4 11 2" xfId="3712" xr:uid="{00000000-0005-0000-0000-00004E0E0000}"/>
    <cellStyle name="Note 2 4 11 3" xfId="5610" xr:uid="{00000000-0005-0000-0000-00004F0E0000}"/>
    <cellStyle name="Note 2 4 12" xfId="1357" xr:uid="{00000000-0005-0000-0000-0000500E0000}"/>
    <cellStyle name="Note 2 4 12 2" xfId="3713" xr:uid="{00000000-0005-0000-0000-0000510E0000}"/>
    <cellStyle name="Note 2 4 12 3" xfId="5611" xr:uid="{00000000-0005-0000-0000-0000520E0000}"/>
    <cellStyle name="Note 2 4 13" xfId="1358" xr:uid="{00000000-0005-0000-0000-0000530E0000}"/>
    <cellStyle name="Note 2 4 13 2" xfId="3714" xr:uid="{00000000-0005-0000-0000-0000540E0000}"/>
    <cellStyle name="Note 2 4 13 3" xfId="5612" xr:uid="{00000000-0005-0000-0000-0000550E0000}"/>
    <cellStyle name="Note 2 4 14" xfId="1359" xr:uid="{00000000-0005-0000-0000-0000560E0000}"/>
    <cellStyle name="Note 2 4 14 2" xfId="3715" xr:uid="{00000000-0005-0000-0000-0000570E0000}"/>
    <cellStyle name="Note 2 4 14 3" xfId="5613" xr:uid="{00000000-0005-0000-0000-0000580E0000}"/>
    <cellStyle name="Note 2 4 15" xfId="1360" xr:uid="{00000000-0005-0000-0000-0000590E0000}"/>
    <cellStyle name="Note 2 4 15 2" xfId="3716" xr:uid="{00000000-0005-0000-0000-00005A0E0000}"/>
    <cellStyle name="Note 2 4 15 3" xfId="5614" xr:uid="{00000000-0005-0000-0000-00005B0E0000}"/>
    <cellStyle name="Note 2 4 16" xfId="1361" xr:uid="{00000000-0005-0000-0000-00005C0E0000}"/>
    <cellStyle name="Note 2 4 16 2" xfId="3717" xr:uid="{00000000-0005-0000-0000-00005D0E0000}"/>
    <cellStyle name="Note 2 4 16 3" xfId="5615" xr:uid="{00000000-0005-0000-0000-00005E0E0000}"/>
    <cellStyle name="Note 2 4 17" xfId="1362" xr:uid="{00000000-0005-0000-0000-00005F0E0000}"/>
    <cellStyle name="Note 2 4 17 2" xfId="3718" xr:uid="{00000000-0005-0000-0000-0000600E0000}"/>
    <cellStyle name="Note 2 4 17 3" xfId="5616" xr:uid="{00000000-0005-0000-0000-0000610E0000}"/>
    <cellStyle name="Note 2 4 18" xfId="1363" xr:uid="{00000000-0005-0000-0000-0000620E0000}"/>
    <cellStyle name="Note 2 4 18 2" xfId="3719" xr:uid="{00000000-0005-0000-0000-0000630E0000}"/>
    <cellStyle name="Note 2 4 18 3" xfId="5617" xr:uid="{00000000-0005-0000-0000-0000640E0000}"/>
    <cellStyle name="Note 2 4 19" xfId="1364" xr:uid="{00000000-0005-0000-0000-0000650E0000}"/>
    <cellStyle name="Note 2 4 19 2" xfId="3720" xr:uid="{00000000-0005-0000-0000-0000660E0000}"/>
    <cellStyle name="Note 2 4 19 3" xfId="5618" xr:uid="{00000000-0005-0000-0000-0000670E0000}"/>
    <cellStyle name="Note 2 4 2" xfId="1365" xr:uid="{00000000-0005-0000-0000-0000680E0000}"/>
    <cellStyle name="Note 2 4 2 2" xfId="3721" xr:uid="{00000000-0005-0000-0000-0000690E0000}"/>
    <cellStyle name="Note 2 4 2 3" xfId="5619" xr:uid="{00000000-0005-0000-0000-00006A0E0000}"/>
    <cellStyle name="Note 2 4 20" xfId="1366" xr:uid="{00000000-0005-0000-0000-00006B0E0000}"/>
    <cellStyle name="Note 2 4 20 2" xfId="3722" xr:uid="{00000000-0005-0000-0000-00006C0E0000}"/>
    <cellStyle name="Note 2 4 20 3" xfId="5620" xr:uid="{00000000-0005-0000-0000-00006D0E0000}"/>
    <cellStyle name="Note 2 4 21" xfId="1367" xr:uid="{00000000-0005-0000-0000-00006E0E0000}"/>
    <cellStyle name="Note 2 4 21 2" xfId="3723" xr:uid="{00000000-0005-0000-0000-00006F0E0000}"/>
    <cellStyle name="Note 2 4 21 3" xfId="5621" xr:uid="{00000000-0005-0000-0000-0000700E0000}"/>
    <cellStyle name="Note 2 4 22" xfId="1368" xr:uid="{00000000-0005-0000-0000-0000710E0000}"/>
    <cellStyle name="Note 2 4 22 2" xfId="3724" xr:uid="{00000000-0005-0000-0000-0000720E0000}"/>
    <cellStyle name="Note 2 4 22 3" xfId="5622" xr:uid="{00000000-0005-0000-0000-0000730E0000}"/>
    <cellStyle name="Note 2 4 23" xfId="1369" xr:uid="{00000000-0005-0000-0000-0000740E0000}"/>
    <cellStyle name="Note 2 4 23 2" xfId="3725" xr:uid="{00000000-0005-0000-0000-0000750E0000}"/>
    <cellStyle name="Note 2 4 23 3" xfId="5623" xr:uid="{00000000-0005-0000-0000-0000760E0000}"/>
    <cellStyle name="Note 2 4 24" xfId="3710" xr:uid="{00000000-0005-0000-0000-0000770E0000}"/>
    <cellStyle name="Note 2 4 25" xfId="5608" xr:uid="{00000000-0005-0000-0000-0000780E0000}"/>
    <cellStyle name="Note 2 4 3" xfId="1370" xr:uid="{00000000-0005-0000-0000-0000790E0000}"/>
    <cellStyle name="Note 2 4 3 2" xfId="3726" xr:uid="{00000000-0005-0000-0000-00007A0E0000}"/>
    <cellStyle name="Note 2 4 3 3" xfId="5624" xr:uid="{00000000-0005-0000-0000-00007B0E0000}"/>
    <cellStyle name="Note 2 4 4" xfId="1371" xr:uid="{00000000-0005-0000-0000-00007C0E0000}"/>
    <cellStyle name="Note 2 4 4 2" xfId="3727" xr:uid="{00000000-0005-0000-0000-00007D0E0000}"/>
    <cellStyle name="Note 2 4 4 3" xfId="5625" xr:uid="{00000000-0005-0000-0000-00007E0E0000}"/>
    <cellStyle name="Note 2 4 5" xfId="1372" xr:uid="{00000000-0005-0000-0000-00007F0E0000}"/>
    <cellStyle name="Note 2 4 5 2" xfId="3728" xr:uid="{00000000-0005-0000-0000-0000800E0000}"/>
    <cellStyle name="Note 2 4 5 3" xfId="5626" xr:uid="{00000000-0005-0000-0000-0000810E0000}"/>
    <cellStyle name="Note 2 4 6" xfId="1373" xr:uid="{00000000-0005-0000-0000-0000820E0000}"/>
    <cellStyle name="Note 2 4 6 2" xfId="3729" xr:uid="{00000000-0005-0000-0000-0000830E0000}"/>
    <cellStyle name="Note 2 4 6 3" xfId="5627" xr:uid="{00000000-0005-0000-0000-0000840E0000}"/>
    <cellStyle name="Note 2 4 7" xfId="1374" xr:uid="{00000000-0005-0000-0000-0000850E0000}"/>
    <cellStyle name="Note 2 4 7 2" xfId="3730" xr:uid="{00000000-0005-0000-0000-0000860E0000}"/>
    <cellStyle name="Note 2 4 7 3" xfId="5628" xr:uid="{00000000-0005-0000-0000-0000870E0000}"/>
    <cellStyle name="Note 2 4 8" xfId="1375" xr:uid="{00000000-0005-0000-0000-0000880E0000}"/>
    <cellStyle name="Note 2 4 8 2" xfId="3731" xr:uid="{00000000-0005-0000-0000-0000890E0000}"/>
    <cellStyle name="Note 2 4 8 3" xfId="5629" xr:uid="{00000000-0005-0000-0000-00008A0E0000}"/>
    <cellStyle name="Note 2 4 9" xfId="1376" xr:uid="{00000000-0005-0000-0000-00008B0E0000}"/>
    <cellStyle name="Note 2 4 9 2" xfId="3732" xr:uid="{00000000-0005-0000-0000-00008C0E0000}"/>
    <cellStyle name="Note 2 4 9 3" xfId="5630" xr:uid="{00000000-0005-0000-0000-00008D0E0000}"/>
    <cellStyle name="Note 2 5" xfId="1377" xr:uid="{00000000-0005-0000-0000-00008E0E0000}"/>
    <cellStyle name="Note 2 5 10" xfId="1378" xr:uid="{00000000-0005-0000-0000-00008F0E0000}"/>
    <cellStyle name="Note 2 5 10 2" xfId="3734" xr:uid="{00000000-0005-0000-0000-0000900E0000}"/>
    <cellStyle name="Note 2 5 10 3" xfId="5632" xr:uid="{00000000-0005-0000-0000-0000910E0000}"/>
    <cellStyle name="Note 2 5 11" xfId="1379" xr:uid="{00000000-0005-0000-0000-0000920E0000}"/>
    <cellStyle name="Note 2 5 11 2" xfId="3735" xr:uid="{00000000-0005-0000-0000-0000930E0000}"/>
    <cellStyle name="Note 2 5 11 3" xfId="5633" xr:uid="{00000000-0005-0000-0000-0000940E0000}"/>
    <cellStyle name="Note 2 5 12" xfId="1380" xr:uid="{00000000-0005-0000-0000-0000950E0000}"/>
    <cellStyle name="Note 2 5 12 2" xfId="3736" xr:uid="{00000000-0005-0000-0000-0000960E0000}"/>
    <cellStyle name="Note 2 5 12 3" xfId="5634" xr:uid="{00000000-0005-0000-0000-0000970E0000}"/>
    <cellStyle name="Note 2 5 13" xfId="1381" xr:uid="{00000000-0005-0000-0000-0000980E0000}"/>
    <cellStyle name="Note 2 5 13 2" xfId="3737" xr:uid="{00000000-0005-0000-0000-0000990E0000}"/>
    <cellStyle name="Note 2 5 13 3" xfId="5635" xr:uid="{00000000-0005-0000-0000-00009A0E0000}"/>
    <cellStyle name="Note 2 5 14" xfId="1382" xr:uid="{00000000-0005-0000-0000-00009B0E0000}"/>
    <cellStyle name="Note 2 5 14 2" xfId="3738" xr:uid="{00000000-0005-0000-0000-00009C0E0000}"/>
    <cellStyle name="Note 2 5 14 3" xfId="5636" xr:uid="{00000000-0005-0000-0000-00009D0E0000}"/>
    <cellStyle name="Note 2 5 15" xfId="1383" xr:uid="{00000000-0005-0000-0000-00009E0E0000}"/>
    <cellStyle name="Note 2 5 15 2" xfId="3739" xr:uid="{00000000-0005-0000-0000-00009F0E0000}"/>
    <cellStyle name="Note 2 5 15 3" xfId="5637" xr:uid="{00000000-0005-0000-0000-0000A00E0000}"/>
    <cellStyle name="Note 2 5 16" xfId="1384" xr:uid="{00000000-0005-0000-0000-0000A10E0000}"/>
    <cellStyle name="Note 2 5 16 2" xfId="3740" xr:uid="{00000000-0005-0000-0000-0000A20E0000}"/>
    <cellStyle name="Note 2 5 16 3" xfId="5638" xr:uid="{00000000-0005-0000-0000-0000A30E0000}"/>
    <cellStyle name="Note 2 5 17" xfId="1385" xr:uid="{00000000-0005-0000-0000-0000A40E0000}"/>
    <cellStyle name="Note 2 5 17 2" xfId="3741" xr:uid="{00000000-0005-0000-0000-0000A50E0000}"/>
    <cellStyle name="Note 2 5 17 3" xfId="5639" xr:uid="{00000000-0005-0000-0000-0000A60E0000}"/>
    <cellStyle name="Note 2 5 18" xfId="1386" xr:uid="{00000000-0005-0000-0000-0000A70E0000}"/>
    <cellStyle name="Note 2 5 18 2" xfId="3742" xr:uid="{00000000-0005-0000-0000-0000A80E0000}"/>
    <cellStyle name="Note 2 5 18 3" xfId="5640" xr:uid="{00000000-0005-0000-0000-0000A90E0000}"/>
    <cellStyle name="Note 2 5 19" xfId="1387" xr:uid="{00000000-0005-0000-0000-0000AA0E0000}"/>
    <cellStyle name="Note 2 5 19 2" xfId="3743" xr:uid="{00000000-0005-0000-0000-0000AB0E0000}"/>
    <cellStyle name="Note 2 5 19 3" xfId="5641" xr:uid="{00000000-0005-0000-0000-0000AC0E0000}"/>
    <cellStyle name="Note 2 5 2" xfId="1388" xr:uid="{00000000-0005-0000-0000-0000AD0E0000}"/>
    <cellStyle name="Note 2 5 2 2" xfId="3744" xr:uid="{00000000-0005-0000-0000-0000AE0E0000}"/>
    <cellStyle name="Note 2 5 2 3" xfId="5642" xr:uid="{00000000-0005-0000-0000-0000AF0E0000}"/>
    <cellStyle name="Note 2 5 20" xfId="1389" xr:uid="{00000000-0005-0000-0000-0000B00E0000}"/>
    <cellStyle name="Note 2 5 20 2" xfId="3745" xr:uid="{00000000-0005-0000-0000-0000B10E0000}"/>
    <cellStyle name="Note 2 5 20 3" xfId="5643" xr:uid="{00000000-0005-0000-0000-0000B20E0000}"/>
    <cellStyle name="Note 2 5 21" xfId="1390" xr:uid="{00000000-0005-0000-0000-0000B30E0000}"/>
    <cellStyle name="Note 2 5 21 2" xfId="3746" xr:uid="{00000000-0005-0000-0000-0000B40E0000}"/>
    <cellStyle name="Note 2 5 21 3" xfId="5644" xr:uid="{00000000-0005-0000-0000-0000B50E0000}"/>
    <cellStyle name="Note 2 5 22" xfId="1391" xr:uid="{00000000-0005-0000-0000-0000B60E0000}"/>
    <cellStyle name="Note 2 5 22 2" xfId="3747" xr:uid="{00000000-0005-0000-0000-0000B70E0000}"/>
    <cellStyle name="Note 2 5 22 3" xfId="5645" xr:uid="{00000000-0005-0000-0000-0000B80E0000}"/>
    <cellStyle name="Note 2 5 23" xfId="1392" xr:uid="{00000000-0005-0000-0000-0000B90E0000}"/>
    <cellStyle name="Note 2 5 23 2" xfId="3748" xr:uid="{00000000-0005-0000-0000-0000BA0E0000}"/>
    <cellStyle name="Note 2 5 23 3" xfId="5646" xr:uid="{00000000-0005-0000-0000-0000BB0E0000}"/>
    <cellStyle name="Note 2 5 24" xfId="3733" xr:uid="{00000000-0005-0000-0000-0000BC0E0000}"/>
    <cellStyle name="Note 2 5 25" xfId="5631" xr:uid="{00000000-0005-0000-0000-0000BD0E0000}"/>
    <cellStyle name="Note 2 5 3" xfId="1393" xr:uid="{00000000-0005-0000-0000-0000BE0E0000}"/>
    <cellStyle name="Note 2 5 3 2" xfId="3749" xr:uid="{00000000-0005-0000-0000-0000BF0E0000}"/>
    <cellStyle name="Note 2 5 3 3" xfId="5647" xr:uid="{00000000-0005-0000-0000-0000C00E0000}"/>
    <cellStyle name="Note 2 5 4" xfId="1394" xr:uid="{00000000-0005-0000-0000-0000C10E0000}"/>
    <cellStyle name="Note 2 5 4 2" xfId="3750" xr:uid="{00000000-0005-0000-0000-0000C20E0000}"/>
    <cellStyle name="Note 2 5 4 3" xfId="5648" xr:uid="{00000000-0005-0000-0000-0000C30E0000}"/>
    <cellStyle name="Note 2 5 5" xfId="1395" xr:uid="{00000000-0005-0000-0000-0000C40E0000}"/>
    <cellStyle name="Note 2 5 5 2" xfId="3751" xr:uid="{00000000-0005-0000-0000-0000C50E0000}"/>
    <cellStyle name="Note 2 5 5 3" xfId="5649" xr:uid="{00000000-0005-0000-0000-0000C60E0000}"/>
    <cellStyle name="Note 2 5 6" xfId="1396" xr:uid="{00000000-0005-0000-0000-0000C70E0000}"/>
    <cellStyle name="Note 2 5 6 2" xfId="3752" xr:uid="{00000000-0005-0000-0000-0000C80E0000}"/>
    <cellStyle name="Note 2 5 6 3" xfId="5650" xr:uid="{00000000-0005-0000-0000-0000C90E0000}"/>
    <cellStyle name="Note 2 5 7" xfId="1397" xr:uid="{00000000-0005-0000-0000-0000CA0E0000}"/>
    <cellStyle name="Note 2 5 7 2" xfId="3753" xr:uid="{00000000-0005-0000-0000-0000CB0E0000}"/>
    <cellStyle name="Note 2 5 7 3" xfId="5651" xr:uid="{00000000-0005-0000-0000-0000CC0E0000}"/>
    <cellStyle name="Note 2 5 8" xfId="1398" xr:uid="{00000000-0005-0000-0000-0000CD0E0000}"/>
    <cellStyle name="Note 2 5 8 2" xfId="3754" xr:uid="{00000000-0005-0000-0000-0000CE0E0000}"/>
    <cellStyle name="Note 2 5 8 3" xfId="5652" xr:uid="{00000000-0005-0000-0000-0000CF0E0000}"/>
    <cellStyle name="Note 2 5 9" xfId="1399" xr:uid="{00000000-0005-0000-0000-0000D00E0000}"/>
    <cellStyle name="Note 2 5 9 2" xfId="3755" xr:uid="{00000000-0005-0000-0000-0000D10E0000}"/>
    <cellStyle name="Note 2 5 9 3" xfId="5653" xr:uid="{00000000-0005-0000-0000-0000D20E0000}"/>
    <cellStyle name="Note 2 6" xfId="1400" xr:uid="{00000000-0005-0000-0000-0000D30E0000}"/>
    <cellStyle name="Note 2 6 10" xfId="1401" xr:uid="{00000000-0005-0000-0000-0000D40E0000}"/>
    <cellStyle name="Note 2 6 10 2" xfId="3757" xr:uid="{00000000-0005-0000-0000-0000D50E0000}"/>
    <cellStyle name="Note 2 6 10 3" xfId="5655" xr:uid="{00000000-0005-0000-0000-0000D60E0000}"/>
    <cellStyle name="Note 2 6 11" xfId="1402" xr:uid="{00000000-0005-0000-0000-0000D70E0000}"/>
    <cellStyle name="Note 2 6 11 2" xfId="3758" xr:uid="{00000000-0005-0000-0000-0000D80E0000}"/>
    <cellStyle name="Note 2 6 11 3" xfId="5656" xr:uid="{00000000-0005-0000-0000-0000D90E0000}"/>
    <cellStyle name="Note 2 6 12" xfId="1403" xr:uid="{00000000-0005-0000-0000-0000DA0E0000}"/>
    <cellStyle name="Note 2 6 12 2" xfId="3759" xr:uid="{00000000-0005-0000-0000-0000DB0E0000}"/>
    <cellStyle name="Note 2 6 12 3" xfId="5657" xr:uid="{00000000-0005-0000-0000-0000DC0E0000}"/>
    <cellStyle name="Note 2 6 13" xfId="1404" xr:uid="{00000000-0005-0000-0000-0000DD0E0000}"/>
    <cellStyle name="Note 2 6 13 2" xfId="3760" xr:uid="{00000000-0005-0000-0000-0000DE0E0000}"/>
    <cellStyle name="Note 2 6 13 3" xfId="5658" xr:uid="{00000000-0005-0000-0000-0000DF0E0000}"/>
    <cellStyle name="Note 2 6 14" xfId="1405" xr:uid="{00000000-0005-0000-0000-0000E00E0000}"/>
    <cellStyle name="Note 2 6 14 2" xfId="3761" xr:uid="{00000000-0005-0000-0000-0000E10E0000}"/>
    <cellStyle name="Note 2 6 14 3" xfId="5659" xr:uid="{00000000-0005-0000-0000-0000E20E0000}"/>
    <cellStyle name="Note 2 6 15" xfId="1406" xr:uid="{00000000-0005-0000-0000-0000E30E0000}"/>
    <cellStyle name="Note 2 6 15 2" xfId="3762" xr:uid="{00000000-0005-0000-0000-0000E40E0000}"/>
    <cellStyle name="Note 2 6 15 3" xfId="5660" xr:uid="{00000000-0005-0000-0000-0000E50E0000}"/>
    <cellStyle name="Note 2 6 16" xfId="1407" xr:uid="{00000000-0005-0000-0000-0000E60E0000}"/>
    <cellStyle name="Note 2 6 16 2" xfId="3763" xr:uid="{00000000-0005-0000-0000-0000E70E0000}"/>
    <cellStyle name="Note 2 6 16 3" xfId="5661" xr:uid="{00000000-0005-0000-0000-0000E80E0000}"/>
    <cellStyle name="Note 2 6 17" xfId="1408" xr:uid="{00000000-0005-0000-0000-0000E90E0000}"/>
    <cellStyle name="Note 2 6 17 2" xfId="3764" xr:uid="{00000000-0005-0000-0000-0000EA0E0000}"/>
    <cellStyle name="Note 2 6 17 3" xfId="5662" xr:uid="{00000000-0005-0000-0000-0000EB0E0000}"/>
    <cellStyle name="Note 2 6 18" xfId="1409" xr:uid="{00000000-0005-0000-0000-0000EC0E0000}"/>
    <cellStyle name="Note 2 6 18 2" xfId="3765" xr:uid="{00000000-0005-0000-0000-0000ED0E0000}"/>
    <cellStyle name="Note 2 6 18 3" xfId="5663" xr:uid="{00000000-0005-0000-0000-0000EE0E0000}"/>
    <cellStyle name="Note 2 6 19" xfId="1410" xr:uid="{00000000-0005-0000-0000-0000EF0E0000}"/>
    <cellStyle name="Note 2 6 19 2" xfId="3766" xr:uid="{00000000-0005-0000-0000-0000F00E0000}"/>
    <cellStyle name="Note 2 6 19 3" xfId="5664" xr:uid="{00000000-0005-0000-0000-0000F10E0000}"/>
    <cellStyle name="Note 2 6 2" xfId="1411" xr:uid="{00000000-0005-0000-0000-0000F20E0000}"/>
    <cellStyle name="Note 2 6 2 2" xfId="3767" xr:uid="{00000000-0005-0000-0000-0000F30E0000}"/>
    <cellStyle name="Note 2 6 2 3" xfId="5665" xr:uid="{00000000-0005-0000-0000-0000F40E0000}"/>
    <cellStyle name="Note 2 6 20" xfId="1412" xr:uid="{00000000-0005-0000-0000-0000F50E0000}"/>
    <cellStyle name="Note 2 6 20 2" xfId="3768" xr:uid="{00000000-0005-0000-0000-0000F60E0000}"/>
    <cellStyle name="Note 2 6 20 3" xfId="5666" xr:uid="{00000000-0005-0000-0000-0000F70E0000}"/>
    <cellStyle name="Note 2 6 21" xfId="1413" xr:uid="{00000000-0005-0000-0000-0000F80E0000}"/>
    <cellStyle name="Note 2 6 21 2" xfId="3769" xr:uid="{00000000-0005-0000-0000-0000F90E0000}"/>
    <cellStyle name="Note 2 6 21 3" xfId="5667" xr:uid="{00000000-0005-0000-0000-0000FA0E0000}"/>
    <cellStyle name="Note 2 6 22" xfId="1414" xr:uid="{00000000-0005-0000-0000-0000FB0E0000}"/>
    <cellStyle name="Note 2 6 22 2" xfId="3770" xr:uid="{00000000-0005-0000-0000-0000FC0E0000}"/>
    <cellStyle name="Note 2 6 22 3" xfId="5668" xr:uid="{00000000-0005-0000-0000-0000FD0E0000}"/>
    <cellStyle name="Note 2 6 23" xfId="1415" xr:uid="{00000000-0005-0000-0000-0000FE0E0000}"/>
    <cellStyle name="Note 2 6 23 2" xfId="3771" xr:uid="{00000000-0005-0000-0000-0000FF0E0000}"/>
    <cellStyle name="Note 2 6 23 3" xfId="5669" xr:uid="{00000000-0005-0000-0000-0000000F0000}"/>
    <cellStyle name="Note 2 6 24" xfId="3756" xr:uid="{00000000-0005-0000-0000-0000010F0000}"/>
    <cellStyle name="Note 2 6 25" xfId="5654" xr:uid="{00000000-0005-0000-0000-0000020F0000}"/>
    <cellStyle name="Note 2 6 3" xfId="1416" xr:uid="{00000000-0005-0000-0000-0000030F0000}"/>
    <cellStyle name="Note 2 6 3 2" xfId="3772" xr:uid="{00000000-0005-0000-0000-0000040F0000}"/>
    <cellStyle name="Note 2 6 3 3" xfId="5670" xr:uid="{00000000-0005-0000-0000-0000050F0000}"/>
    <cellStyle name="Note 2 6 4" xfId="1417" xr:uid="{00000000-0005-0000-0000-0000060F0000}"/>
    <cellStyle name="Note 2 6 4 2" xfId="3773" xr:uid="{00000000-0005-0000-0000-0000070F0000}"/>
    <cellStyle name="Note 2 6 4 3" xfId="5671" xr:uid="{00000000-0005-0000-0000-0000080F0000}"/>
    <cellStyle name="Note 2 6 5" xfId="1418" xr:uid="{00000000-0005-0000-0000-0000090F0000}"/>
    <cellStyle name="Note 2 6 5 2" xfId="3774" xr:uid="{00000000-0005-0000-0000-00000A0F0000}"/>
    <cellStyle name="Note 2 6 5 3" xfId="5672" xr:uid="{00000000-0005-0000-0000-00000B0F0000}"/>
    <cellStyle name="Note 2 6 6" xfId="1419" xr:uid="{00000000-0005-0000-0000-00000C0F0000}"/>
    <cellStyle name="Note 2 6 6 2" xfId="3775" xr:uid="{00000000-0005-0000-0000-00000D0F0000}"/>
    <cellStyle name="Note 2 6 6 3" xfId="5673" xr:uid="{00000000-0005-0000-0000-00000E0F0000}"/>
    <cellStyle name="Note 2 6 7" xfId="1420" xr:uid="{00000000-0005-0000-0000-00000F0F0000}"/>
    <cellStyle name="Note 2 6 7 2" xfId="3776" xr:uid="{00000000-0005-0000-0000-0000100F0000}"/>
    <cellStyle name="Note 2 6 7 3" xfId="5674" xr:uid="{00000000-0005-0000-0000-0000110F0000}"/>
    <cellStyle name="Note 2 6 8" xfId="1421" xr:uid="{00000000-0005-0000-0000-0000120F0000}"/>
    <cellStyle name="Note 2 6 8 2" xfId="3777" xr:uid="{00000000-0005-0000-0000-0000130F0000}"/>
    <cellStyle name="Note 2 6 8 3" xfId="5675" xr:uid="{00000000-0005-0000-0000-0000140F0000}"/>
    <cellStyle name="Note 2 6 9" xfId="1422" xr:uid="{00000000-0005-0000-0000-0000150F0000}"/>
    <cellStyle name="Note 2 6 9 2" xfId="3778" xr:uid="{00000000-0005-0000-0000-0000160F0000}"/>
    <cellStyle name="Note 2 6 9 3" xfId="5676" xr:uid="{00000000-0005-0000-0000-0000170F0000}"/>
    <cellStyle name="Note 2 7" xfId="1423" xr:uid="{00000000-0005-0000-0000-0000180F0000}"/>
    <cellStyle name="Note 2 7 10" xfId="1424" xr:uid="{00000000-0005-0000-0000-0000190F0000}"/>
    <cellStyle name="Note 2 7 10 2" xfId="3780" xr:uid="{00000000-0005-0000-0000-00001A0F0000}"/>
    <cellStyle name="Note 2 7 10 3" xfId="5678" xr:uid="{00000000-0005-0000-0000-00001B0F0000}"/>
    <cellStyle name="Note 2 7 11" xfId="1425" xr:uid="{00000000-0005-0000-0000-00001C0F0000}"/>
    <cellStyle name="Note 2 7 11 2" xfId="3781" xr:uid="{00000000-0005-0000-0000-00001D0F0000}"/>
    <cellStyle name="Note 2 7 11 3" xfId="5679" xr:uid="{00000000-0005-0000-0000-00001E0F0000}"/>
    <cellStyle name="Note 2 7 12" xfId="1426" xr:uid="{00000000-0005-0000-0000-00001F0F0000}"/>
    <cellStyle name="Note 2 7 12 2" xfId="3782" xr:uid="{00000000-0005-0000-0000-0000200F0000}"/>
    <cellStyle name="Note 2 7 12 3" xfId="5680" xr:uid="{00000000-0005-0000-0000-0000210F0000}"/>
    <cellStyle name="Note 2 7 13" xfId="1427" xr:uid="{00000000-0005-0000-0000-0000220F0000}"/>
    <cellStyle name="Note 2 7 13 2" xfId="3783" xr:uid="{00000000-0005-0000-0000-0000230F0000}"/>
    <cellStyle name="Note 2 7 13 3" xfId="5681" xr:uid="{00000000-0005-0000-0000-0000240F0000}"/>
    <cellStyle name="Note 2 7 14" xfId="1428" xr:uid="{00000000-0005-0000-0000-0000250F0000}"/>
    <cellStyle name="Note 2 7 14 2" xfId="3784" xr:uid="{00000000-0005-0000-0000-0000260F0000}"/>
    <cellStyle name="Note 2 7 14 3" xfId="5682" xr:uid="{00000000-0005-0000-0000-0000270F0000}"/>
    <cellStyle name="Note 2 7 15" xfId="1429" xr:uid="{00000000-0005-0000-0000-0000280F0000}"/>
    <cellStyle name="Note 2 7 15 2" xfId="3785" xr:uid="{00000000-0005-0000-0000-0000290F0000}"/>
    <cellStyle name="Note 2 7 15 3" xfId="5683" xr:uid="{00000000-0005-0000-0000-00002A0F0000}"/>
    <cellStyle name="Note 2 7 16" xfId="1430" xr:uid="{00000000-0005-0000-0000-00002B0F0000}"/>
    <cellStyle name="Note 2 7 16 2" xfId="3786" xr:uid="{00000000-0005-0000-0000-00002C0F0000}"/>
    <cellStyle name="Note 2 7 16 3" xfId="5684" xr:uid="{00000000-0005-0000-0000-00002D0F0000}"/>
    <cellStyle name="Note 2 7 17" xfId="1431" xr:uid="{00000000-0005-0000-0000-00002E0F0000}"/>
    <cellStyle name="Note 2 7 17 2" xfId="3787" xr:uid="{00000000-0005-0000-0000-00002F0F0000}"/>
    <cellStyle name="Note 2 7 17 3" xfId="5685" xr:uid="{00000000-0005-0000-0000-0000300F0000}"/>
    <cellStyle name="Note 2 7 18" xfId="1432" xr:uid="{00000000-0005-0000-0000-0000310F0000}"/>
    <cellStyle name="Note 2 7 18 2" xfId="3788" xr:uid="{00000000-0005-0000-0000-0000320F0000}"/>
    <cellStyle name="Note 2 7 18 3" xfId="5686" xr:uid="{00000000-0005-0000-0000-0000330F0000}"/>
    <cellStyle name="Note 2 7 19" xfId="1433" xr:uid="{00000000-0005-0000-0000-0000340F0000}"/>
    <cellStyle name="Note 2 7 19 2" xfId="3789" xr:uid="{00000000-0005-0000-0000-0000350F0000}"/>
    <cellStyle name="Note 2 7 19 3" xfId="5687" xr:uid="{00000000-0005-0000-0000-0000360F0000}"/>
    <cellStyle name="Note 2 7 2" xfId="1434" xr:uid="{00000000-0005-0000-0000-0000370F0000}"/>
    <cellStyle name="Note 2 7 2 2" xfId="3790" xr:uid="{00000000-0005-0000-0000-0000380F0000}"/>
    <cellStyle name="Note 2 7 2 3" xfId="5688" xr:uid="{00000000-0005-0000-0000-0000390F0000}"/>
    <cellStyle name="Note 2 7 20" xfId="1435" xr:uid="{00000000-0005-0000-0000-00003A0F0000}"/>
    <cellStyle name="Note 2 7 20 2" xfId="3791" xr:uid="{00000000-0005-0000-0000-00003B0F0000}"/>
    <cellStyle name="Note 2 7 20 3" xfId="5689" xr:uid="{00000000-0005-0000-0000-00003C0F0000}"/>
    <cellStyle name="Note 2 7 21" xfId="1436" xr:uid="{00000000-0005-0000-0000-00003D0F0000}"/>
    <cellStyle name="Note 2 7 21 2" xfId="3792" xr:uid="{00000000-0005-0000-0000-00003E0F0000}"/>
    <cellStyle name="Note 2 7 21 3" xfId="5690" xr:uid="{00000000-0005-0000-0000-00003F0F0000}"/>
    <cellStyle name="Note 2 7 22" xfId="1437" xr:uid="{00000000-0005-0000-0000-0000400F0000}"/>
    <cellStyle name="Note 2 7 22 2" xfId="3793" xr:uid="{00000000-0005-0000-0000-0000410F0000}"/>
    <cellStyle name="Note 2 7 22 3" xfId="5691" xr:uid="{00000000-0005-0000-0000-0000420F0000}"/>
    <cellStyle name="Note 2 7 23" xfId="1438" xr:uid="{00000000-0005-0000-0000-0000430F0000}"/>
    <cellStyle name="Note 2 7 23 2" xfId="3794" xr:uid="{00000000-0005-0000-0000-0000440F0000}"/>
    <cellStyle name="Note 2 7 23 3" xfId="5692" xr:uid="{00000000-0005-0000-0000-0000450F0000}"/>
    <cellStyle name="Note 2 7 24" xfId="3779" xr:uid="{00000000-0005-0000-0000-0000460F0000}"/>
    <cellStyle name="Note 2 7 25" xfId="5677" xr:uid="{00000000-0005-0000-0000-0000470F0000}"/>
    <cellStyle name="Note 2 7 3" xfId="1439" xr:uid="{00000000-0005-0000-0000-0000480F0000}"/>
    <cellStyle name="Note 2 7 3 2" xfId="3795" xr:uid="{00000000-0005-0000-0000-0000490F0000}"/>
    <cellStyle name="Note 2 7 3 3" xfId="5693" xr:uid="{00000000-0005-0000-0000-00004A0F0000}"/>
    <cellStyle name="Note 2 7 4" xfId="1440" xr:uid="{00000000-0005-0000-0000-00004B0F0000}"/>
    <cellStyle name="Note 2 7 4 2" xfId="3796" xr:uid="{00000000-0005-0000-0000-00004C0F0000}"/>
    <cellStyle name="Note 2 7 4 3" xfId="5694" xr:uid="{00000000-0005-0000-0000-00004D0F0000}"/>
    <cellStyle name="Note 2 7 5" xfId="1441" xr:uid="{00000000-0005-0000-0000-00004E0F0000}"/>
    <cellStyle name="Note 2 7 5 2" xfId="3797" xr:uid="{00000000-0005-0000-0000-00004F0F0000}"/>
    <cellStyle name="Note 2 7 5 3" xfId="5695" xr:uid="{00000000-0005-0000-0000-0000500F0000}"/>
    <cellStyle name="Note 2 7 6" xfId="1442" xr:uid="{00000000-0005-0000-0000-0000510F0000}"/>
    <cellStyle name="Note 2 7 6 2" xfId="3798" xr:uid="{00000000-0005-0000-0000-0000520F0000}"/>
    <cellStyle name="Note 2 7 6 3" xfId="5696" xr:uid="{00000000-0005-0000-0000-0000530F0000}"/>
    <cellStyle name="Note 2 7 7" xfId="1443" xr:uid="{00000000-0005-0000-0000-0000540F0000}"/>
    <cellStyle name="Note 2 7 7 2" xfId="3799" xr:uid="{00000000-0005-0000-0000-0000550F0000}"/>
    <cellStyle name="Note 2 7 7 3" xfId="5697" xr:uid="{00000000-0005-0000-0000-0000560F0000}"/>
    <cellStyle name="Note 2 7 8" xfId="1444" xr:uid="{00000000-0005-0000-0000-0000570F0000}"/>
    <cellStyle name="Note 2 7 8 2" xfId="3800" xr:uid="{00000000-0005-0000-0000-0000580F0000}"/>
    <cellStyle name="Note 2 7 8 3" xfId="5698" xr:uid="{00000000-0005-0000-0000-0000590F0000}"/>
    <cellStyle name="Note 2 7 9" xfId="1445" xr:uid="{00000000-0005-0000-0000-00005A0F0000}"/>
    <cellStyle name="Note 2 7 9 2" xfId="3801" xr:uid="{00000000-0005-0000-0000-00005B0F0000}"/>
    <cellStyle name="Note 2 7 9 3" xfId="5699" xr:uid="{00000000-0005-0000-0000-00005C0F0000}"/>
    <cellStyle name="Note 2 8" xfId="1446" xr:uid="{00000000-0005-0000-0000-00005D0F0000}"/>
    <cellStyle name="Note 2 8 10" xfId="1447" xr:uid="{00000000-0005-0000-0000-00005E0F0000}"/>
    <cellStyle name="Note 2 8 10 2" xfId="3803" xr:uid="{00000000-0005-0000-0000-00005F0F0000}"/>
    <cellStyle name="Note 2 8 10 3" xfId="5701" xr:uid="{00000000-0005-0000-0000-0000600F0000}"/>
    <cellStyle name="Note 2 8 11" xfId="1448" xr:uid="{00000000-0005-0000-0000-0000610F0000}"/>
    <cellStyle name="Note 2 8 11 2" xfId="3804" xr:uid="{00000000-0005-0000-0000-0000620F0000}"/>
    <cellStyle name="Note 2 8 11 3" xfId="5702" xr:uid="{00000000-0005-0000-0000-0000630F0000}"/>
    <cellStyle name="Note 2 8 12" xfId="1449" xr:uid="{00000000-0005-0000-0000-0000640F0000}"/>
    <cellStyle name="Note 2 8 12 2" xfId="3805" xr:uid="{00000000-0005-0000-0000-0000650F0000}"/>
    <cellStyle name="Note 2 8 12 3" xfId="5703" xr:uid="{00000000-0005-0000-0000-0000660F0000}"/>
    <cellStyle name="Note 2 8 13" xfId="1450" xr:uid="{00000000-0005-0000-0000-0000670F0000}"/>
    <cellStyle name="Note 2 8 13 2" xfId="3806" xr:uid="{00000000-0005-0000-0000-0000680F0000}"/>
    <cellStyle name="Note 2 8 13 3" xfId="5704" xr:uid="{00000000-0005-0000-0000-0000690F0000}"/>
    <cellStyle name="Note 2 8 14" xfId="1451" xr:uid="{00000000-0005-0000-0000-00006A0F0000}"/>
    <cellStyle name="Note 2 8 14 2" xfId="3807" xr:uid="{00000000-0005-0000-0000-00006B0F0000}"/>
    <cellStyle name="Note 2 8 14 3" xfId="5705" xr:uid="{00000000-0005-0000-0000-00006C0F0000}"/>
    <cellStyle name="Note 2 8 15" xfId="1452" xr:uid="{00000000-0005-0000-0000-00006D0F0000}"/>
    <cellStyle name="Note 2 8 15 2" xfId="3808" xr:uid="{00000000-0005-0000-0000-00006E0F0000}"/>
    <cellStyle name="Note 2 8 15 3" xfId="5706" xr:uid="{00000000-0005-0000-0000-00006F0F0000}"/>
    <cellStyle name="Note 2 8 16" xfId="1453" xr:uid="{00000000-0005-0000-0000-0000700F0000}"/>
    <cellStyle name="Note 2 8 16 2" xfId="3809" xr:uid="{00000000-0005-0000-0000-0000710F0000}"/>
    <cellStyle name="Note 2 8 16 3" xfId="5707" xr:uid="{00000000-0005-0000-0000-0000720F0000}"/>
    <cellStyle name="Note 2 8 17" xfId="1454" xr:uid="{00000000-0005-0000-0000-0000730F0000}"/>
    <cellStyle name="Note 2 8 17 2" xfId="3810" xr:uid="{00000000-0005-0000-0000-0000740F0000}"/>
    <cellStyle name="Note 2 8 17 3" xfId="5708" xr:uid="{00000000-0005-0000-0000-0000750F0000}"/>
    <cellStyle name="Note 2 8 18" xfId="1455" xr:uid="{00000000-0005-0000-0000-0000760F0000}"/>
    <cellStyle name="Note 2 8 18 2" xfId="3811" xr:uid="{00000000-0005-0000-0000-0000770F0000}"/>
    <cellStyle name="Note 2 8 18 3" xfId="5709" xr:uid="{00000000-0005-0000-0000-0000780F0000}"/>
    <cellStyle name="Note 2 8 19" xfId="1456" xr:uid="{00000000-0005-0000-0000-0000790F0000}"/>
    <cellStyle name="Note 2 8 19 2" xfId="3812" xr:uid="{00000000-0005-0000-0000-00007A0F0000}"/>
    <cellStyle name="Note 2 8 19 3" xfId="5710" xr:uid="{00000000-0005-0000-0000-00007B0F0000}"/>
    <cellStyle name="Note 2 8 2" xfId="1457" xr:uid="{00000000-0005-0000-0000-00007C0F0000}"/>
    <cellStyle name="Note 2 8 2 2" xfId="3813" xr:uid="{00000000-0005-0000-0000-00007D0F0000}"/>
    <cellStyle name="Note 2 8 2 3" xfId="5711" xr:uid="{00000000-0005-0000-0000-00007E0F0000}"/>
    <cellStyle name="Note 2 8 20" xfId="1458" xr:uid="{00000000-0005-0000-0000-00007F0F0000}"/>
    <cellStyle name="Note 2 8 20 2" xfId="3814" xr:uid="{00000000-0005-0000-0000-0000800F0000}"/>
    <cellStyle name="Note 2 8 20 3" xfId="5712" xr:uid="{00000000-0005-0000-0000-0000810F0000}"/>
    <cellStyle name="Note 2 8 21" xfId="1459" xr:uid="{00000000-0005-0000-0000-0000820F0000}"/>
    <cellStyle name="Note 2 8 21 2" xfId="3815" xr:uid="{00000000-0005-0000-0000-0000830F0000}"/>
    <cellStyle name="Note 2 8 21 3" xfId="5713" xr:uid="{00000000-0005-0000-0000-0000840F0000}"/>
    <cellStyle name="Note 2 8 22" xfId="1460" xr:uid="{00000000-0005-0000-0000-0000850F0000}"/>
    <cellStyle name="Note 2 8 22 2" xfId="3816" xr:uid="{00000000-0005-0000-0000-0000860F0000}"/>
    <cellStyle name="Note 2 8 22 3" xfId="5714" xr:uid="{00000000-0005-0000-0000-0000870F0000}"/>
    <cellStyle name="Note 2 8 23" xfId="1461" xr:uid="{00000000-0005-0000-0000-0000880F0000}"/>
    <cellStyle name="Note 2 8 23 2" xfId="3817" xr:uid="{00000000-0005-0000-0000-0000890F0000}"/>
    <cellStyle name="Note 2 8 23 3" xfId="5715" xr:uid="{00000000-0005-0000-0000-00008A0F0000}"/>
    <cellStyle name="Note 2 8 24" xfId="3802" xr:uid="{00000000-0005-0000-0000-00008B0F0000}"/>
    <cellStyle name="Note 2 8 25" xfId="5700" xr:uid="{00000000-0005-0000-0000-00008C0F0000}"/>
    <cellStyle name="Note 2 8 3" xfId="1462" xr:uid="{00000000-0005-0000-0000-00008D0F0000}"/>
    <cellStyle name="Note 2 8 3 2" xfId="3818" xr:uid="{00000000-0005-0000-0000-00008E0F0000}"/>
    <cellStyle name="Note 2 8 3 3" xfId="5716" xr:uid="{00000000-0005-0000-0000-00008F0F0000}"/>
    <cellStyle name="Note 2 8 4" xfId="1463" xr:uid="{00000000-0005-0000-0000-0000900F0000}"/>
    <cellStyle name="Note 2 8 4 2" xfId="3819" xr:uid="{00000000-0005-0000-0000-0000910F0000}"/>
    <cellStyle name="Note 2 8 4 3" xfId="5717" xr:uid="{00000000-0005-0000-0000-0000920F0000}"/>
    <cellStyle name="Note 2 8 5" xfId="1464" xr:uid="{00000000-0005-0000-0000-0000930F0000}"/>
    <cellStyle name="Note 2 8 5 2" xfId="3820" xr:uid="{00000000-0005-0000-0000-0000940F0000}"/>
    <cellStyle name="Note 2 8 5 3" xfId="5718" xr:uid="{00000000-0005-0000-0000-0000950F0000}"/>
    <cellStyle name="Note 2 8 6" xfId="1465" xr:uid="{00000000-0005-0000-0000-0000960F0000}"/>
    <cellStyle name="Note 2 8 6 2" xfId="3821" xr:uid="{00000000-0005-0000-0000-0000970F0000}"/>
    <cellStyle name="Note 2 8 6 3" xfId="5719" xr:uid="{00000000-0005-0000-0000-0000980F0000}"/>
    <cellStyle name="Note 2 8 7" xfId="1466" xr:uid="{00000000-0005-0000-0000-0000990F0000}"/>
    <cellStyle name="Note 2 8 7 2" xfId="3822" xr:uid="{00000000-0005-0000-0000-00009A0F0000}"/>
    <cellStyle name="Note 2 8 7 3" xfId="5720" xr:uid="{00000000-0005-0000-0000-00009B0F0000}"/>
    <cellStyle name="Note 2 8 8" xfId="1467" xr:uid="{00000000-0005-0000-0000-00009C0F0000}"/>
    <cellStyle name="Note 2 8 8 2" xfId="3823" xr:uid="{00000000-0005-0000-0000-00009D0F0000}"/>
    <cellStyle name="Note 2 8 8 3" xfId="5721" xr:uid="{00000000-0005-0000-0000-00009E0F0000}"/>
    <cellStyle name="Note 2 8 9" xfId="1468" xr:uid="{00000000-0005-0000-0000-00009F0F0000}"/>
    <cellStyle name="Note 2 8 9 2" xfId="3824" xr:uid="{00000000-0005-0000-0000-0000A00F0000}"/>
    <cellStyle name="Note 2 8 9 3" xfId="5722" xr:uid="{00000000-0005-0000-0000-0000A10F0000}"/>
    <cellStyle name="Note 2 9" xfId="1469" xr:uid="{00000000-0005-0000-0000-0000A20F0000}"/>
    <cellStyle name="Note 2 9 10" xfId="1470" xr:uid="{00000000-0005-0000-0000-0000A30F0000}"/>
    <cellStyle name="Note 2 9 10 2" xfId="3826" xr:uid="{00000000-0005-0000-0000-0000A40F0000}"/>
    <cellStyle name="Note 2 9 10 3" xfId="5724" xr:uid="{00000000-0005-0000-0000-0000A50F0000}"/>
    <cellStyle name="Note 2 9 11" xfId="1471" xr:uid="{00000000-0005-0000-0000-0000A60F0000}"/>
    <cellStyle name="Note 2 9 11 2" xfId="3827" xr:uid="{00000000-0005-0000-0000-0000A70F0000}"/>
    <cellStyle name="Note 2 9 11 3" xfId="5725" xr:uid="{00000000-0005-0000-0000-0000A80F0000}"/>
    <cellStyle name="Note 2 9 12" xfId="1472" xr:uid="{00000000-0005-0000-0000-0000A90F0000}"/>
    <cellStyle name="Note 2 9 12 2" xfId="3828" xr:uid="{00000000-0005-0000-0000-0000AA0F0000}"/>
    <cellStyle name="Note 2 9 12 3" xfId="5726" xr:uid="{00000000-0005-0000-0000-0000AB0F0000}"/>
    <cellStyle name="Note 2 9 13" xfId="1473" xr:uid="{00000000-0005-0000-0000-0000AC0F0000}"/>
    <cellStyle name="Note 2 9 13 2" xfId="3829" xr:uid="{00000000-0005-0000-0000-0000AD0F0000}"/>
    <cellStyle name="Note 2 9 13 3" xfId="5727" xr:uid="{00000000-0005-0000-0000-0000AE0F0000}"/>
    <cellStyle name="Note 2 9 14" xfId="1474" xr:uid="{00000000-0005-0000-0000-0000AF0F0000}"/>
    <cellStyle name="Note 2 9 14 2" xfId="3830" xr:uid="{00000000-0005-0000-0000-0000B00F0000}"/>
    <cellStyle name="Note 2 9 14 3" xfId="5728" xr:uid="{00000000-0005-0000-0000-0000B10F0000}"/>
    <cellStyle name="Note 2 9 15" xfId="1475" xr:uid="{00000000-0005-0000-0000-0000B20F0000}"/>
    <cellStyle name="Note 2 9 15 2" xfId="3831" xr:uid="{00000000-0005-0000-0000-0000B30F0000}"/>
    <cellStyle name="Note 2 9 15 3" xfId="5729" xr:uid="{00000000-0005-0000-0000-0000B40F0000}"/>
    <cellStyle name="Note 2 9 16" xfId="1476" xr:uid="{00000000-0005-0000-0000-0000B50F0000}"/>
    <cellStyle name="Note 2 9 16 2" xfId="3832" xr:uid="{00000000-0005-0000-0000-0000B60F0000}"/>
    <cellStyle name="Note 2 9 16 3" xfId="5730" xr:uid="{00000000-0005-0000-0000-0000B70F0000}"/>
    <cellStyle name="Note 2 9 17" xfId="1477" xr:uid="{00000000-0005-0000-0000-0000B80F0000}"/>
    <cellStyle name="Note 2 9 17 2" xfId="3833" xr:uid="{00000000-0005-0000-0000-0000B90F0000}"/>
    <cellStyle name="Note 2 9 17 3" xfId="5731" xr:uid="{00000000-0005-0000-0000-0000BA0F0000}"/>
    <cellStyle name="Note 2 9 18" xfId="1478" xr:uid="{00000000-0005-0000-0000-0000BB0F0000}"/>
    <cellStyle name="Note 2 9 18 2" xfId="3834" xr:uid="{00000000-0005-0000-0000-0000BC0F0000}"/>
    <cellStyle name="Note 2 9 18 3" xfId="5732" xr:uid="{00000000-0005-0000-0000-0000BD0F0000}"/>
    <cellStyle name="Note 2 9 19" xfId="1479" xr:uid="{00000000-0005-0000-0000-0000BE0F0000}"/>
    <cellStyle name="Note 2 9 19 2" xfId="3835" xr:uid="{00000000-0005-0000-0000-0000BF0F0000}"/>
    <cellStyle name="Note 2 9 19 3" xfId="5733" xr:uid="{00000000-0005-0000-0000-0000C00F0000}"/>
    <cellStyle name="Note 2 9 2" xfId="1480" xr:uid="{00000000-0005-0000-0000-0000C10F0000}"/>
    <cellStyle name="Note 2 9 2 2" xfId="3836" xr:uid="{00000000-0005-0000-0000-0000C20F0000}"/>
    <cellStyle name="Note 2 9 2 3" xfId="5734" xr:uid="{00000000-0005-0000-0000-0000C30F0000}"/>
    <cellStyle name="Note 2 9 20" xfId="1481" xr:uid="{00000000-0005-0000-0000-0000C40F0000}"/>
    <cellStyle name="Note 2 9 20 2" xfId="3837" xr:uid="{00000000-0005-0000-0000-0000C50F0000}"/>
    <cellStyle name="Note 2 9 20 3" xfId="5735" xr:uid="{00000000-0005-0000-0000-0000C60F0000}"/>
    <cellStyle name="Note 2 9 21" xfId="1482" xr:uid="{00000000-0005-0000-0000-0000C70F0000}"/>
    <cellStyle name="Note 2 9 21 2" xfId="3838" xr:uid="{00000000-0005-0000-0000-0000C80F0000}"/>
    <cellStyle name="Note 2 9 21 3" xfId="5736" xr:uid="{00000000-0005-0000-0000-0000C90F0000}"/>
    <cellStyle name="Note 2 9 22" xfId="1483" xr:uid="{00000000-0005-0000-0000-0000CA0F0000}"/>
    <cellStyle name="Note 2 9 22 2" xfId="3839" xr:uid="{00000000-0005-0000-0000-0000CB0F0000}"/>
    <cellStyle name="Note 2 9 22 3" xfId="5737" xr:uid="{00000000-0005-0000-0000-0000CC0F0000}"/>
    <cellStyle name="Note 2 9 23" xfId="1484" xr:uid="{00000000-0005-0000-0000-0000CD0F0000}"/>
    <cellStyle name="Note 2 9 23 2" xfId="3840" xr:uid="{00000000-0005-0000-0000-0000CE0F0000}"/>
    <cellStyle name="Note 2 9 23 3" xfId="5738" xr:uid="{00000000-0005-0000-0000-0000CF0F0000}"/>
    <cellStyle name="Note 2 9 24" xfId="3825" xr:uid="{00000000-0005-0000-0000-0000D00F0000}"/>
    <cellStyle name="Note 2 9 25" xfId="5723" xr:uid="{00000000-0005-0000-0000-0000D10F0000}"/>
    <cellStyle name="Note 2 9 3" xfId="1485" xr:uid="{00000000-0005-0000-0000-0000D20F0000}"/>
    <cellStyle name="Note 2 9 3 2" xfId="3841" xr:uid="{00000000-0005-0000-0000-0000D30F0000}"/>
    <cellStyle name="Note 2 9 3 3" xfId="5739" xr:uid="{00000000-0005-0000-0000-0000D40F0000}"/>
    <cellStyle name="Note 2 9 4" xfId="1486" xr:uid="{00000000-0005-0000-0000-0000D50F0000}"/>
    <cellStyle name="Note 2 9 4 2" xfId="3842" xr:uid="{00000000-0005-0000-0000-0000D60F0000}"/>
    <cellStyle name="Note 2 9 4 3" xfId="5740" xr:uid="{00000000-0005-0000-0000-0000D70F0000}"/>
    <cellStyle name="Note 2 9 5" xfId="1487" xr:uid="{00000000-0005-0000-0000-0000D80F0000}"/>
    <cellStyle name="Note 2 9 5 2" xfId="3843" xr:uid="{00000000-0005-0000-0000-0000D90F0000}"/>
    <cellStyle name="Note 2 9 5 3" xfId="5741" xr:uid="{00000000-0005-0000-0000-0000DA0F0000}"/>
    <cellStyle name="Note 2 9 6" xfId="1488" xr:uid="{00000000-0005-0000-0000-0000DB0F0000}"/>
    <cellStyle name="Note 2 9 6 2" xfId="3844" xr:uid="{00000000-0005-0000-0000-0000DC0F0000}"/>
    <cellStyle name="Note 2 9 6 3" xfId="5742" xr:uid="{00000000-0005-0000-0000-0000DD0F0000}"/>
    <cellStyle name="Note 2 9 7" xfId="1489" xr:uid="{00000000-0005-0000-0000-0000DE0F0000}"/>
    <cellStyle name="Note 2 9 7 2" xfId="3845" xr:uid="{00000000-0005-0000-0000-0000DF0F0000}"/>
    <cellStyle name="Note 2 9 7 3" xfId="5743" xr:uid="{00000000-0005-0000-0000-0000E00F0000}"/>
    <cellStyle name="Note 2 9 8" xfId="1490" xr:uid="{00000000-0005-0000-0000-0000E10F0000}"/>
    <cellStyle name="Note 2 9 8 2" xfId="3846" xr:uid="{00000000-0005-0000-0000-0000E20F0000}"/>
    <cellStyle name="Note 2 9 8 3" xfId="5744" xr:uid="{00000000-0005-0000-0000-0000E30F0000}"/>
    <cellStyle name="Note 2 9 9" xfId="1491" xr:uid="{00000000-0005-0000-0000-0000E40F0000}"/>
    <cellStyle name="Note 2 9 9 2" xfId="3847" xr:uid="{00000000-0005-0000-0000-0000E50F0000}"/>
    <cellStyle name="Note 2 9 9 3" xfId="5745" xr:uid="{00000000-0005-0000-0000-0000E60F0000}"/>
    <cellStyle name="Note 3" xfId="4756" xr:uid="{00000000-0005-0000-0000-0000E70F0000}"/>
    <cellStyle name="Note 4" xfId="2486" xr:uid="{00000000-0005-0000-0000-0000E80F0000}"/>
    <cellStyle name="Note 5" xfId="4727" xr:uid="{00000000-0005-0000-0000-0000E90F0000}"/>
    <cellStyle name="Obliczenia" xfId="1492" xr:uid="{00000000-0005-0000-0000-0000EA0F0000}"/>
    <cellStyle name="Obliczenia 10" xfId="1493" xr:uid="{00000000-0005-0000-0000-0000EB0F0000}"/>
    <cellStyle name="Obliczenia 10 2" xfId="3849" xr:uid="{00000000-0005-0000-0000-0000EC0F0000}"/>
    <cellStyle name="Obliczenia 10 3" xfId="5747" xr:uid="{00000000-0005-0000-0000-0000ED0F0000}"/>
    <cellStyle name="Obliczenia 11" xfId="1494" xr:uid="{00000000-0005-0000-0000-0000EE0F0000}"/>
    <cellStyle name="Obliczenia 11 2" xfId="3850" xr:uid="{00000000-0005-0000-0000-0000EF0F0000}"/>
    <cellStyle name="Obliczenia 11 3" xfId="5748" xr:uid="{00000000-0005-0000-0000-0000F00F0000}"/>
    <cellStyle name="Obliczenia 12" xfId="1495" xr:uid="{00000000-0005-0000-0000-0000F10F0000}"/>
    <cellStyle name="Obliczenia 12 2" xfId="3851" xr:uid="{00000000-0005-0000-0000-0000F20F0000}"/>
    <cellStyle name="Obliczenia 12 3" xfId="5749" xr:uid="{00000000-0005-0000-0000-0000F30F0000}"/>
    <cellStyle name="Obliczenia 13" xfId="1496" xr:uid="{00000000-0005-0000-0000-0000F40F0000}"/>
    <cellStyle name="Obliczenia 13 2" xfId="3852" xr:uid="{00000000-0005-0000-0000-0000F50F0000}"/>
    <cellStyle name="Obliczenia 13 3" xfId="5750" xr:uid="{00000000-0005-0000-0000-0000F60F0000}"/>
    <cellStyle name="Obliczenia 14" xfId="1497" xr:uid="{00000000-0005-0000-0000-0000F70F0000}"/>
    <cellStyle name="Obliczenia 14 2" xfId="3853" xr:uid="{00000000-0005-0000-0000-0000F80F0000}"/>
    <cellStyle name="Obliczenia 14 3" xfId="5751" xr:uid="{00000000-0005-0000-0000-0000F90F0000}"/>
    <cellStyle name="Obliczenia 15" xfId="1498" xr:uid="{00000000-0005-0000-0000-0000FA0F0000}"/>
    <cellStyle name="Obliczenia 15 2" xfId="3854" xr:uid="{00000000-0005-0000-0000-0000FB0F0000}"/>
    <cellStyle name="Obliczenia 15 3" xfId="5752" xr:uid="{00000000-0005-0000-0000-0000FC0F0000}"/>
    <cellStyle name="Obliczenia 16" xfId="1499" xr:uid="{00000000-0005-0000-0000-0000FD0F0000}"/>
    <cellStyle name="Obliczenia 16 2" xfId="3855" xr:uid="{00000000-0005-0000-0000-0000FE0F0000}"/>
    <cellStyle name="Obliczenia 16 3" xfId="5753" xr:uid="{00000000-0005-0000-0000-0000FF0F0000}"/>
    <cellStyle name="Obliczenia 17" xfId="1500" xr:uid="{00000000-0005-0000-0000-000000100000}"/>
    <cellStyle name="Obliczenia 17 2" xfId="3856" xr:uid="{00000000-0005-0000-0000-000001100000}"/>
    <cellStyle name="Obliczenia 17 3" xfId="5754" xr:uid="{00000000-0005-0000-0000-000002100000}"/>
    <cellStyle name="Obliczenia 18" xfId="1501" xr:uid="{00000000-0005-0000-0000-000003100000}"/>
    <cellStyle name="Obliczenia 18 2" xfId="3857" xr:uid="{00000000-0005-0000-0000-000004100000}"/>
    <cellStyle name="Obliczenia 18 3" xfId="5755" xr:uid="{00000000-0005-0000-0000-000005100000}"/>
    <cellStyle name="Obliczenia 19" xfId="1502" xr:uid="{00000000-0005-0000-0000-000006100000}"/>
    <cellStyle name="Obliczenia 19 2" xfId="3858" xr:uid="{00000000-0005-0000-0000-000007100000}"/>
    <cellStyle name="Obliczenia 19 3" xfId="5756" xr:uid="{00000000-0005-0000-0000-000008100000}"/>
    <cellStyle name="Obliczenia 2" xfId="1503" xr:uid="{00000000-0005-0000-0000-000009100000}"/>
    <cellStyle name="Obliczenia 2 10" xfId="1504" xr:uid="{00000000-0005-0000-0000-00000A100000}"/>
    <cellStyle name="Obliczenia 2 10 2" xfId="3860" xr:uid="{00000000-0005-0000-0000-00000B100000}"/>
    <cellStyle name="Obliczenia 2 10 3" xfId="5758" xr:uid="{00000000-0005-0000-0000-00000C100000}"/>
    <cellStyle name="Obliczenia 2 11" xfId="1505" xr:uid="{00000000-0005-0000-0000-00000D100000}"/>
    <cellStyle name="Obliczenia 2 11 2" xfId="3861" xr:uid="{00000000-0005-0000-0000-00000E100000}"/>
    <cellStyle name="Obliczenia 2 11 3" xfId="5759" xr:uid="{00000000-0005-0000-0000-00000F100000}"/>
    <cellStyle name="Obliczenia 2 12" xfId="1506" xr:uid="{00000000-0005-0000-0000-000010100000}"/>
    <cellStyle name="Obliczenia 2 12 2" xfId="3862" xr:uid="{00000000-0005-0000-0000-000011100000}"/>
    <cellStyle name="Obliczenia 2 12 3" xfId="5760" xr:uid="{00000000-0005-0000-0000-000012100000}"/>
    <cellStyle name="Obliczenia 2 13" xfId="1507" xr:uid="{00000000-0005-0000-0000-000013100000}"/>
    <cellStyle name="Obliczenia 2 13 2" xfId="3863" xr:uid="{00000000-0005-0000-0000-000014100000}"/>
    <cellStyle name="Obliczenia 2 13 3" xfId="5761" xr:uid="{00000000-0005-0000-0000-000015100000}"/>
    <cellStyle name="Obliczenia 2 14" xfId="1508" xr:uid="{00000000-0005-0000-0000-000016100000}"/>
    <cellStyle name="Obliczenia 2 14 2" xfId="3864" xr:uid="{00000000-0005-0000-0000-000017100000}"/>
    <cellStyle name="Obliczenia 2 14 3" xfId="5762" xr:uid="{00000000-0005-0000-0000-000018100000}"/>
    <cellStyle name="Obliczenia 2 15" xfId="1509" xr:uid="{00000000-0005-0000-0000-000019100000}"/>
    <cellStyle name="Obliczenia 2 15 2" xfId="3865" xr:uid="{00000000-0005-0000-0000-00001A100000}"/>
    <cellStyle name="Obliczenia 2 15 3" xfId="5763" xr:uid="{00000000-0005-0000-0000-00001B100000}"/>
    <cellStyle name="Obliczenia 2 16" xfId="1510" xr:uid="{00000000-0005-0000-0000-00001C100000}"/>
    <cellStyle name="Obliczenia 2 16 2" xfId="3866" xr:uid="{00000000-0005-0000-0000-00001D100000}"/>
    <cellStyle name="Obliczenia 2 16 3" xfId="5764" xr:uid="{00000000-0005-0000-0000-00001E100000}"/>
    <cellStyle name="Obliczenia 2 17" xfId="1511" xr:uid="{00000000-0005-0000-0000-00001F100000}"/>
    <cellStyle name="Obliczenia 2 17 2" xfId="3867" xr:uid="{00000000-0005-0000-0000-000020100000}"/>
    <cellStyle name="Obliczenia 2 17 3" xfId="5765" xr:uid="{00000000-0005-0000-0000-000021100000}"/>
    <cellStyle name="Obliczenia 2 18" xfId="1512" xr:uid="{00000000-0005-0000-0000-000022100000}"/>
    <cellStyle name="Obliczenia 2 18 2" xfId="3868" xr:uid="{00000000-0005-0000-0000-000023100000}"/>
    <cellStyle name="Obliczenia 2 18 3" xfId="5766" xr:uid="{00000000-0005-0000-0000-000024100000}"/>
    <cellStyle name="Obliczenia 2 19" xfId="1513" xr:uid="{00000000-0005-0000-0000-000025100000}"/>
    <cellStyle name="Obliczenia 2 19 2" xfId="3869" xr:uid="{00000000-0005-0000-0000-000026100000}"/>
    <cellStyle name="Obliczenia 2 19 3" xfId="5767" xr:uid="{00000000-0005-0000-0000-000027100000}"/>
    <cellStyle name="Obliczenia 2 2" xfId="1514" xr:uid="{00000000-0005-0000-0000-000028100000}"/>
    <cellStyle name="Obliczenia 2 2 2" xfId="3870" xr:uid="{00000000-0005-0000-0000-000029100000}"/>
    <cellStyle name="Obliczenia 2 2 3" xfId="5768" xr:uid="{00000000-0005-0000-0000-00002A100000}"/>
    <cellStyle name="Obliczenia 2 20" xfId="1515" xr:uid="{00000000-0005-0000-0000-00002B100000}"/>
    <cellStyle name="Obliczenia 2 20 2" xfId="3871" xr:uid="{00000000-0005-0000-0000-00002C100000}"/>
    <cellStyle name="Obliczenia 2 20 3" xfId="5769" xr:uid="{00000000-0005-0000-0000-00002D100000}"/>
    <cellStyle name="Obliczenia 2 21" xfId="1516" xr:uid="{00000000-0005-0000-0000-00002E100000}"/>
    <cellStyle name="Obliczenia 2 21 2" xfId="3872" xr:uid="{00000000-0005-0000-0000-00002F100000}"/>
    <cellStyle name="Obliczenia 2 21 3" xfId="5770" xr:uid="{00000000-0005-0000-0000-000030100000}"/>
    <cellStyle name="Obliczenia 2 22" xfId="1517" xr:uid="{00000000-0005-0000-0000-000031100000}"/>
    <cellStyle name="Obliczenia 2 22 2" xfId="3873" xr:uid="{00000000-0005-0000-0000-000032100000}"/>
    <cellStyle name="Obliczenia 2 22 3" xfId="5771" xr:uid="{00000000-0005-0000-0000-000033100000}"/>
    <cellStyle name="Obliczenia 2 23" xfId="1518" xr:uid="{00000000-0005-0000-0000-000034100000}"/>
    <cellStyle name="Obliczenia 2 23 2" xfId="3874" xr:uid="{00000000-0005-0000-0000-000035100000}"/>
    <cellStyle name="Obliczenia 2 23 3" xfId="5772" xr:uid="{00000000-0005-0000-0000-000036100000}"/>
    <cellStyle name="Obliczenia 2 24" xfId="3859" xr:uid="{00000000-0005-0000-0000-000037100000}"/>
    <cellStyle name="Obliczenia 2 25" xfId="5757" xr:uid="{00000000-0005-0000-0000-000038100000}"/>
    <cellStyle name="Obliczenia 2 3" xfId="1519" xr:uid="{00000000-0005-0000-0000-000039100000}"/>
    <cellStyle name="Obliczenia 2 3 2" xfId="3875" xr:uid="{00000000-0005-0000-0000-00003A100000}"/>
    <cellStyle name="Obliczenia 2 3 3" xfId="5773" xr:uid="{00000000-0005-0000-0000-00003B100000}"/>
    <cellStyle name="Obliczenia 2 4" xfId="1520" xr:uid="{00000000-0005-0000-0000-00003C100000}"/>
    <cellStyle name="Obliczenia 2 4 2" xfId="3876" xr:uid="{00000000-0005-0000-0000-00003D100000}"/>
    <cellStyle name="Obliczenia 2 4 3" xfId="5774" xr:uid="{00000000-0005-0000-0000-00003E100000}"/>
    <cellStyle name="Obliczenia 2 5" xfId="1521" xr:uid="{00000000-0005-0000-0000-00003F100000}"/>
    <cellStyle name="Obliczenia 2 5 2" xfId="3877" xr:uid="{00000000-0005-0000-0000-000040100000}"/>
    <cellStyle name="Obliczenia 2 5 3" xfId="5775" xr:uid="{00000000-0005-0000-0000-000041100000}"/>
    <cellStyle name="Obliczenia 2 6" xfId="1522" xr:uid="{00000000-0005-0000-0000-000042100000}"/>
    <cellStyle name="Obliczenia 2 6 2" xfId="3878" xr:uid="{00000000-0005-0000-0000-000043100000}"/>
    <cellStyle name="Obliczenia 2 6 3" xfId="5776" xr:uid="{00000000-0005-0000-0000-000044100000}"/>
    <cellStyle name="Obliczenia 2 7" xfId="1523" xr:uid="{00000000-0005-0000-0000-000045100000}"/>
    <cellStyle name="Obliczenia 2 7 2" xfId="3879" xr:uid="{00000000-0005-0000-0000-000046100000}"/>
    <cellStyle name="Obliczenia 2 7 3" xfId="5777" xr:uid="{00000000-0005-0000-0000-000047100000}"/>
    <cellStyle name="Obliczenia 2 8" xfId="1524" xr:uid="{00000000-0005-0000-0000-000048100000}"/>
    <cellStyle name="Obliczenia 2 8 2" xfId="3880" xr:uid="{00000000-0005-0000-0000-000049100000}"/>
    <cellStyle name="Obliczenia 2 8 3" xfId="5778" xr:uid="{00000000-0005-0000-0000-00004A100000}"/>
    <cellStyle name="Obliczenia 2 9" xfId="1525" xr:uid="{00000000-0005-0000-0000-00004B100000}"/>
    <cellStyle name="Obliczenia 2 9 2" xfId="3881" xr:uid="{00000000-0005-0000-0000-00004C100000}"/>
    <cellStyle name="Obliczenia 2 9 3" xfId="5779" xr:uid="{00000000-0005-0000-0000-00004D100000}"/>
    <cellStyle name="Obliczenia 20" xfId="1526" xr:uid="{00000000-0005-0000-0000-00004E100000}"/>
    <cellStyle name="Obliczenia 20 2" xfId="3882" xr:uid="{00000000-0005-0000-0000-00004F100000}"/>
    <cellStyle name="Obliczenia 20 3" xfId="5780" xr:uid="{00000000-0005-0000-0000-000050100000}"/>
    <cellStyle name="Obliczenia 21" xfId="1527" xr:uid="{00000000-0005-0000-0000-000051100000}"/>
    <cellStyle name="Obliczenia 21 2" xfId="3883" xr:uid="{00000000-0005-0000-0000-000052100000}"/>
    <cellStyle name="Obliczenia 21 3" xfId="5781" xr:uid="{00000000-0005-0000-0000-000053100000}"/>
    <cellStyle name="Obliczenia 22" xfId="1528" xr:uid="{00000000-0005-0000-0000-000054100000}"/>
    <cellStyle name="Obliczenia 22 2" xfId="3884" xr:uid="{00000000-0005-0000-0000-000055100000}"/>
    <cellStyle name="Obliczenia 22 3" xfId="5782" xr:uid="{00000000-0005-0000-0000-000056100000}"/>
    <cellStyle name="Obliczenia 23" xfId="1529" xr:uid="{00000000-0005-0000-0000-000057100000}"/>
    <cellStyle name="Obliczenia 23 2" xfId="3885" xr:uid="{00000000-0005-0000-0000-000058100000}"/>
    <cellStyle name="Obliczenia 23 3" xfId="5783" xr:uid="{00000000-0005-0000-0000-000059100000}"/>
    <cellStyle name="Obliczenia 24" xfId="1530" xr:uid="{00000000-0005-0000-0000-00005A100000}"/>
    <cellStyle name="Obliczenia 24 2" xfId="3886" xr:uid="{00000000-0005-0000-0000-00005B100000}"/>
    <cellStyle name="Obliczenia 24 3" xfId="5784" xr:uid="{00000000-0005-0000-0000-00005C100000}"/>
    <cellStyle name="Obliczenia 25" xfId="1531" xr:uid="{00000000-0005-0000-0000-00005D100000}"/>
    <cellStyle name="Obliczenia 25 2" xfId="3887" xr:uid="{00000000-0005-0000-0000-00005E100000}"/>
    <cellStyle name="Obliczenia 25 3" xfId="5785" xr:uid="{00000000-0005-0000-0000-00005F100000}"/>
    <cellStyle name="Obliczenia 26" xfId="3848" xr:uid="{00000000-0005-0000-0000-000060100000}"/>
    <cellStyle name="Obliczenia 27" xfId="5746" xr:uid="{00000000-0005-0000-0000-000061100000}"/>
    <cellStyle name="Obliczenia 3" xfId="1532" xr:uid="{00000000-0005-0000-0000-000062100000}"/>
    <cellStyle name="Obliczenia 3 10" xfId="1533" xr:uid="{00000000-0005-0000-0000-000063100000}"/>
    <cellStyle name="Obliczenia 3 10 2" xfId="3889" xr:uid="{00000000-0005-0000-0000-000064100000}"/>
    <cellStyle name="Obliczenia 3 10 3" xfId="5787" xr:uid="{00000000-0005-0000-0000-000065100000}"/>
    <cellStyle name="Obliczenia 3 11" xfId="1534" xr:uid="{00000000-0005-0000-0000-000066100000}"/>
    <cellStyle name="Obliczenia 3 11 2" xfId="3890" xr:uid="{00000000-0005-0000-0000-000067100000}"/>
    <cellStyle name="Obliczenia 3 11 3" xfId="5788" xr:uid="{00000000-0005-0000-0000-000068100000}"/>
    <cellStyle name="Obliczenia 3 12" xfId="1535" xr:uid="{00000000-0005-0000-0000-000069100000}"/>
    <cellStyle name="Obliczenia 3 12 2" xfId="3891" xr:uid="{00000000-0005-0000-0000-00006A100000}"/>
    <cellStyle name="Obliczenia 3 12 3" xfId="5789" xr:uid="{00000000-0005-0000-0000-00006B100000}"/>
    <cellStyle name="Obliczenia 3 13" xfId="1536" xr:uid="{00000000-0005-0000-0000-00006C100000}"/>
    <cellStyle name="Obliczenia 3 13 2" xfId="3892" xr:uid="{00000000-0005-0000-0000-00006D100000}"/>
    <cellStyle name="Obliczenia 3 13 3" xfId="5790" xr:uid="{00000000-0005-0000-0000-00006E100000}"/>
    <cellStyle name="Obliczenia 3 14" xfId="1537" xr:uid="{00000000-0005-0000-0000-00006F100000}"/>
    <cellStyle name="Obliczenia 3 14 2" xfId="3893" xr:uid="{00000000-0005-0000-0000-000070100000}"/>
    <cellStyle name="Obliczenia 3 14 3" xfId="5791" xr:uid="{00000000-0005-0000-0000-000071100000}"/>
    <cellStyle name="Obliczenia 3 15" xfId="1538" xr:uid="{00000000-0005-0000-0000-000072100000}"/>
    <cellStyle name="Obliczenia 3 15 2" xfId="3894" xr:uid="{00000000-0005-0000-0000-000073100000}"/>
    <cellStyle name="Obliczenia 3 15 3" xfId="5792" xr:uid="{00000000-0005-0000-0000-000074100000}"/>
    <cellStyle name="Obliczenia 3 16" xfId="1539" xr:uid="{00000000-0005-0000-0000-000075100000}"/>
    <cellStyle name="Obliczenia 3 16 2" xfId="3895" xr:uid="{00000000-0005-0000-0000-000076100000}"/>
    <cellStyle name="Obliczenia 3 16 3" xfId="5793" xr:uid="{00000000-0005-0000-0000-000077100000}"/>
    <cellStyle name="Obliczenia 3 17" xfId="1540" xr:uid="{00000000-0005-0000-0000-000078100000}"/>
    <cellStyle name="Obliczenia 3 17 2" xfId="3896" xr:uid="{00000000-0005-0000-0000-000079100000}"/>
    <cellStyle name="Obliczenia 3 17 3" xfId="5794" xr:uid="{00000000-0005-0000-0000-00007A100000}"/>
    <cellStyle name="Obliczenia 3 18" xfId="1541" xr:uid="{00000000-0005-0000-0000-00007B100000}"/>
    <cellStyle name="Obliczenia 3 18 2" xfId="3897" xr:uid="{00000000-0005-0000-0000-00007C100000}"/>
    <cellStyle name="Obliczenia 3 18 3" xfId="5795" xr:uid="{00000000-0005-0000-0000-00007D100000}"/>
    <cellStyle name="Obliczenia 3 19" xfId="1542" xr:uid="{00000000-0005-0000-0000-00007E100000}"/>
    <cellStyle name="Obliczenia 3 19 2" xfId="3898" xr:uid="{00000000-0005-0000-0000-00007F100000}"/>
    <cellStyle name="Obliczenia 3 19 3" xfId="5796" xr:uid="{00000000-0005-0000-0000-000080100000}"/>
    <cellStyle name="Obliczenia 3 2" xfId="1543" xr:uid="{00000000-0005-0000-0000-000081100000}"/>
    <cellStyle name="Obliczenia 3 2 2" xfId="3899" xr:uid="{00000000-0005-0000-0000-000082100000}"/>
    <cellStyle name="Obliczenia 3 2 3" xfId="5797" xr:uid="{00000000-0005-0000-0000-000083100000}"/>
    <cellStyle name="Obliczenia 3 20" xfId="1544" xr:uid="{00000000-0005-0000-0000-000084100000}"/>
    <cellStyle name="Obliczenia 3 20 2" xfId="3900" xr:uid="{00000000-0005-0000-0000-000085100000}"/>
    <cellStyle name="Obliczenia 3 20 3" xfId="5798" xr:uid="{00000000-0005-0000-0000-000086100000}"/>
    <cellStyle name="Obliczenia 3 21" xfId="1545" xr:uid="{00000000-0005-0000-0000-000087100000}"/>
    <cellStyle name="Obliczenia 3 21 2" xfId="3901" xr:uid="{00000000-0005-0000-0000-000088100000}"/>
    <cellStyle name="Obliczenia 3 21 3" xfId="5799" xr:uid="{00000000-0005-0000-0000-000089100000}"/>
    <cellStyle name="Obliczenia 3 22" xfId="1546" xr:uid="{00000000-0005-0000-0000-00008A100000}"/>
    <cellStyle name="Obliczenia 3 22 2" xfId="3902" xr:uid="{00000000-0005-0000-0000-00008B100000}"/>
    <cellStyle name="Obliczenia 3 22 3" xfId="5800" xr:uid="{00000000-0005-0000-0000-00008C100000}"/>
    <cellStyle name="Obliczenia 3 23" xfId="1547" xr:uid="{00000000-0005-0000-0000-00008D100000}"/>
    <cellStyle name="Obliczenia 3 23 2" xfId="3903" xr:uid="{00000000-0005-0000-0000-00008E100000}"/>
    <cellStyle name="Obliczenia 3 23 3" xfId="5801" xr:uid="{00000000-0005-0000-0000-00008F100000}"/>
    <cellStyle name="Obliczenia 3 24" xfId="3888" xr:uid="{00000000-0005-0000-0000-000090100000}"/>
    <cellStyle name="Obliczenia 3 25" xfId="5786" xr:uid="{00000000-0005-0000-0000-000091100000}"/>
    <cellStyle name="Obliczenia 3 3" xfId="1548" xr:uid="{00000000-0005-0000-0000-000092100000}"/>
    <cellStyle name="Obliczenia 3 3 2" xfId="3904" xr:uid="{00000000-0005-0000-0000-000093100000}"/>
    <cellStyle name="Obliczenia 3 3 3" xfId="5802" xr:uid="{00000000-0005-0000-0000-000094100000}"/>
    <cellStyle name="Obliczenia 3 4" xfId="1549" xr:uid="{00000000-0005-0000-0000-000095100000}"/>
    <cellStyle name="Obliczenia 3 4 2" xfId="3905" xr:uid="{00000000-0005-0000-0000-000096100000}"/>
    <cellStyle name="Obliczenia 3 4 3" xfId="5803" xr:uid="{00000000-0005-0000-0000-000097100000}"/>
    <cellStyle name="Obliczenia 3 5" xfId="1550" xr:uid="{00000000-0005-0000-0000-000098100000}"/>
    <cellStyle name="Obliczenia 3 5 2" xfId="3906" xr:uid="{00000000-0005-0000-0000-000099100000}"/>
    <cellStyle name="Obliczenia 3 5 3" xfId="5804" xr:uid="{00000000-0005-0000-0000-00009A100000}"/>
    <cellStyle name="Obliczenia 3 6" xfId="1551" xr:uid="{00000000-0005-0000-0000-00009B100000}"/>
    <cellStyle name="Obliczenia 3 6 2" xfId="3907" xr:uid="{00000000-0005-0000-0000-00009C100000}"/>
    <cellStyle name="Obliczenia 3 6 3" xfId="5805" xr:uid="{00000000-0005-0000-0000-00009D100000}"/>
    <cellStyle name="Obliczenia 3 7" xfId="1552" xr:uid="{00000000-0005-0000-0000-00009E100000}"/>
    <cellStyle name="Obliczenia 3 7 2" xfId="3908" xr:uid="{00000000-0005-0000-0000-00009F100000}"/>
    <cellStyle name="Obliczenia 3 7 3" xfId="5806" xr:uid="{00000000-0005-0000-0000-0000A0100000}"/>
    <cellStyle name="Obliczenia 3 8" xfId="1553" xr:uid="{00000000-0005-0000-0000-0000A1100000}"/>
    <cellStyle name="Obliczenia 3 8 2" xfId="3909" xr:uid="{00000000-0005-0000-0000-0000A2100000}"/>
    <cellStyle name="Obliczenia 3 8 3" xfId="5807" xr:uid="{00000000-0005-0000-0000-0000A3100000}"/>
    <cellStyle name="Obliczenia 3 9" xfId="1554" xr:uid="{00000000-0005-0000-0000-0000A4100000}"/>
    <cellStyle name="Obliczenia 3 9 2" xfId="3910" xr:uid="{00000000-0005-0000-0000-0000A5100000}"/>
    <cellStyle name="Obliczenia 3 9 3" xfId="5808" xr:uid="{00000000-0005-0000-0000-0000A6100000}"/>
    <cellStyle name="Obliczenia 4" xfId="1555" xr:uid="{00000000-0005-0000-0000-0000A7100000}"/>
    <cellStyle name="Obliczenia 4 2" xfId="3911" xr:uid="{00000000-0005-0000-0000-0000A8100000}"/>
    <cellStyle name="Obliczenia 4 3" xfId="5809" xr:uid="{00000000-0005-0000-0000-0000A9100000}"/>
    <cellStyle name="Obliczenia 5" xfId="1556" xr:uid="{00000000-0005-0000-0000-0000AA100000}"/>
    <cellStyle name="Obliczenia 5 2" xfId="3912" xr:uid="{00000000-0005-0000-0000-0000AB100000}"/>
    <cellStyle name="Obliczenia 5 3" xfId="5810" xr:uid="{00000000-0005-0000-0000-0000AC100000}"/>
    <cellStyle name="Obliczenia 6" xfId="1557" xr:uid="{00000000-0005-0000-0000-0000AD100000}"/>
    <cellStyle name="Obliczenia 6 2" xfId="3913" xr:uid="{00000000-0005-0000-0000-0000AE100000}"/>
    <cellStyle name="Obliczenia 6 3" xfId="5811" xr:uid="{00000000-0005-0000-0000-0000AF100000}"/>
    <cellStyle name="Obliczenia 7" xfId="1558" xr:uid="{00000000-0005-0000-0000-0000B0100000}"/>
    <cellStyle name="Obliczenia 7 2" xfId="3914" xr:uid="{00000000-0005-0000-0000-0000B1100000}"/>
    <cellStyle name="Obliczenia 7 3" xfId="5812" xr:uid="{00000000-0005-0000-0000-0000B2100000}"/>
    <cellStyle name="Obliczenia 8" xfId="1559" xr:uid="{00000000-0005-0000-0000-0000B3100000}"/>
    <cellStyle name="Obliczenia 8 2" xfId="3915" xr:uid="{00000000-0005-0000-0000-0000B4100000}"/>
    <cellStyle name="Obliczenia 8 3" xfId="5813" xr:uid="{00000000-0005-0000-0000-0000B5100000}"/>
    <cellStyle name="Obliczenia 9" xfId="1560" xr:uid="{00000000-0005-0000-0000-0000B6100000}"/>
    <cellStyle name="Obliczenia 9 2" xfId="3916" xr:uid="{00000000-0005-0000-0000-0000B7100000}"/>
    <cellStyle name="Obliczenia 9 3" xfId="5814" xr:uid="{00000000-0005-0000-0000-0000B8100000}"/>
    <cellStyle name="Output" xfId="47" builtinId="21" customBuiltin="1"/>
    <cellStyle name="Output 2" xfId="1561" xr:uid="{00000000-0005-0000-0000-0000BA100000}"/>
    <cellStyle name="Output 2 10" xfId="1562" xr:uid="{00000000-0005-0000-0000-0000BB100000}"/>
    <cellStyle name="Output 2 10 10" xfId="1563" xr:uid="{00000000-0005-0000-0000-0000BC100000}"/>
    <cellStyle name="Output 2 10 10 2" xfId="3919" xr:uid="{00000000-0005-0000-0000-0000BD100000}"/>
    <cellStyle name="Output 2 10 10 3" xfId="5817" xr:uid="{00000000-0005-0000-0000-0000BE100000}"/>
    <cellStyle name="Output 2 10 11" xfId="1564" xr:uid="{00000000-0005-0000-0000-0000BF100000}"/>
    <cellStyle name="Output 2 10 11 2" xfId="3920" xr:uid="{00000000-0005-0000-0000-0000C0100000}"/>
    <cellStyle name="Output 2 10 11 3" xfId="5818" xr:uid="{00000000-0005-0000-0000-0000C1100000}"/>
    <cellStyle name="Output 2 10 12" xfId="1565" xr:uid="{00000000-0005-0000-0000-0000C2100000}"/>
    <cellStyle name="Output 2 10 12 2" xfId="3921" xr:uid="{00000000-0005-0000-0000-0000C3100000}"/>
    <cellStyle name="Output 2 10 12 3" xfId="5819" xr:uid="{00000000-0005-0000-0000-0000C4100000}"/>
    <cellStyle name="Output 2 10 13" xfId="1566" xr:uid="{00000000-0005-0000-0000-0000C5100000}"/>
    <cellStyle name="Output 2 10 13 2" xfId="3922" xr:uid="{00000000-0005-0000-0000-0000C6100000}"/>
    <cellStyle name="Output 2 10 13 3" xfId="5820" xr:uid="{00000000-0005-0000-0000-0000C7100000}"/>
    <cellStyle name="Output 2 10 14" xfId="1567" xr:uid="{00000000-0005-0000-0000-0000C8100000}"/>
    <cellStyle name="Output 2 10 14 2" xfId="3923" xr:uid="{00000000-0005-0000-0000-0000C9100000}"/>
    <cellStyle name="Output 2 10 14 3" xfId="5821" xr:uid="{00000000-0005-0000-0000-0000CA100000}"/>
    <cellStyle name="Output 2 10 15" xfId="1568" xr:uid="{00000000-0005-0000-0000-0000CB100000}"/>
    <cellStyle name="Output 2 10 15 2" xfId="3924" xr:uid="{00000000-0005-0000-0000-0000CC100000}"/>
    <cellStyle name="Output 2 10 15 3" xfId="5822" xr:uid="{00000000-0005-0000-0000-0000CD100000}"/>
    <cellStyle name="Output 2 10 16" xfId="1569" xr:uid="{00000000-0005-0000-0000-0000CE100000}"/>
    <cellStyle name="Output 2 10 16 2" xfId="3925" xr:uid="{00000000-0005-0000-0000-0000CF100000}"/>
    <cellStyle name="Output 2 10 16 3" xfId="5823" xr:uid="{00000000-0005-0000-0000-0000D0100000}"/>
    <cellStyle name="Output 2 10 17" xfId="1570" xr:uid="{00000000-0005-0000-0000-0000D1100000}"/>
    <cellStyle name="Output 2 10 17 2" xfId="3926" xr:uid="{00000000-0005-0000-0000-0000D2100000}"/>
    <cellStyle name="Output 2 10 17 3" xfId="5824" xr:uid="{00000000-0005-0000-0000-0000D3100000}"/>
    <cellStyle name="Output 2 10 18" xfId="1571" xr:uid="{00000000-0005-0000-0000-0000D4100000}"/>
    <cellStyle name="Output 2 10 18 2" xfId="3927" xr:uid="{00000000-0005-0000-0000-0000D5100000}"/>
    <cellStyle name="Output 2 10 18 3" xfId="5825" xr:uid="{00000000-0005-0000-0000-0000D6100000}"/>
    <cellStyle name="Output 2 10 19" xfId="1572" xr:uid="{00000000-0005-0000-0000-0000D7100000}"/>
    <cellStyle name="Output 2 10 19 2" xfId="3928" xr:uid="{00000000-0005-0000-0000-0000D8100000}"/>
    <cellStyle name="Output 2 10 19 3" xfId="5826" xr:uid="{00000000-0005-0000-0000-0000D9100000}"/>
    <cellStyle name="Output 2 10 2" xfId="1573" xr:uid="{00000000-0005-0000-0000-0000DA100000}"/>
    <cellStyle name="Output 2 10 2 2" xfId="3929" xr:uid="{00000000-0005-0000-0000-0000DB100000}"/>
    <cellStyle name="Output 2 10 2 3" xfId="5827" xr:uid="{00000000-0005-0000-0000-0000DC100000}"/>
    <cellStyle name="Output 2 10 20" xfId="1574" xr:uid="{00000000-0005-0000-0000-0000DD100000}"/>
    <cellStyle name="Output 2 10 20 2" xfId="3930" xr:uid="{00000000-0005-0000-0000-0000DE100000}"/>
    <cellStyle name="Output 2 10 20 3" xfId="5828" xr:uid="{00000000-0005-0000-0000-0000DF100000}"/>
    <cellStyle name="Output 2 10 21" xfId="1575" xr:uid="{00000000-0005-0000-0000-0000E0100000}"/>
    <cellStyle name="Output 2 10 21 2" xfId="3931" xr:uid="{00000000-0005-0000-0000-0000E1100000}"/>
    <cellStyle name="Output 2 10 21 3" xfId="5829" xr:uid="{00000000-0005-0000-0000-0000E2100000}"/>
    <cellStyle name="Output 2 10 22" xfId="1576" xr:uid="{00000000-0005-0000-0000-0000E3100000}"/>
    <cellStyle name="Output 2 10 22 2" xfId="3932" xr:uid="{00000000-0005-0000-0000-0000E4100000}"/>
    <cellStyle name="Output 2 10 22 3" xfId="5830" xr:uid="{00000000-0005-0000-0000-0000E5100000}"/>
    <cellStyle name="Output 2 10 23" xfId="1577" xr:uid="{00000000-0005-0000-0000-0000E6100000}"/>
    <cellStyle name="Output 2 10 23 2" xfId="3933" xr:uid="{00000000-0005-0000-0000-0000E7100000}"/>
    <cellStyle name="Output 2 10 23 3" xfId="5831" xr:uid="{00000000-0005-0000-0000-0000E8100000}"/>
    <cellStyle name="Output 2 10 24" xfId="3918" xr:uid="{00000000-0005-0000-0000-0000E9100000}"/>
    <cellStyle name="Output 2 10 25" xfId="5816" xr:uid="{00000000-0005-0000-0000-0000EA100000}"/>
    <cellStyle name="Output 2 10 3" xfId="1578" xr:uid="{00000000-0005-0000-0000-0000EB100000}"/>
    <cellStyle name="Output 2 10 3 2" xfId="3934" xr:uid="{00000000-0005-0000-0000-0000EC100000}"/>
    <cellStyle name="Output 2 10 3 3" xfId="5832" xr:uid="{00000000-0005-0000-0000-0000ED100000}"/>
    <cellStyle name="Output 2 10 4" xfId="1579" xr:uid="{00000000-0005-0000-0000-0000EE100000}"/>
    <cellStyle name="Output 2 10 4 2" xfId="3935" xr:uid="{00000000-0005-0000-0000-0000EF100000}"/>
    <cellStyle name="Output 2 10 4 3" xfId="5833" xr:uid="{00000000-0005-0000-0000-0000F0100000}"/>
    <cellStyle name="Output 2 10 5" xfId="1580" xr:uid="{00000000-0005-0000-0000-0000F1100000}"/>
    <cellStyle name="Output 2 10 5 2" xfId="3936" xr:uid="{00000000-0005-0000-0000-0000F2100000}"/>
    <cellStyle name="Output 2 10 5 3" xfId="5834" xr:uid="{00000000-0005-0000-0000-0000F3100000}"/>
    <cellStyle name="Output 2 10 6" xfId="1581" xr:uid="{00000000-0005-0000-0000-0000F4100000}"/>
    <cellStyle name="Output 2 10 6 2" xfId="3937" xr:uid="{00000000-0005-0000-0000-0000F5100000}"/>
    <cellStyle name="Output 2 10 6 3" xfId="5835" xr:uid="{00000000-0005-0000-0000-0000F6100000}"/>
    <cellStyle name="Output 2 10 7" xfId="1582" xr:uid="{00000000-0005-0000-0000-0000F7100000}"/>
    <cellStyle name="Output 2 10 7 2" xfId="3938" xr:uid="{00000000-0005-0000-0000-0000F8100000}"/>
    <cellStyle name="Output 2 10 7 3" xfId="5836" xr:uid="{00000000-0005-0000-0000-0000F9100000}"/>
    <cellStyle name="Output 2 10 8" xfId="1583" xr:uid="{00000000-0005-0000-0000-0000FA100000}"/>
    <cellStyle name="Output 2 10 8 2" xfId="3939" xr:uid="{00000000-0005-0000-0000-0000FB100000}"/>
    <cellStyle name="Output 2 10 8 3" xfId="5837" xr:uid="{00000000-0005-0000-0000-0000FC100000}"/>
    <cellStyle name="Output 2 10 9" xfId="1584" xr:uid="{00000000-0005-0000-0000-0000FD100000}"/>
    <cellStyle name="Output 2 10 9 2" xfId="3940" xr:uid="{00000000-0005-0000-0000-0000FE100000}"/>
    <cellStyle name="Output 2 10 9 3" xfId="5838" xr:uid="{00000000-0005-0000-0000-0000FF100000}"/>
    <cellStyle name="Output 2 11" xfId="1585" xr:uid="{00000000-0005-0000-0000-000000110000}"/>
    <cellStyle name="Output 2 11 10" xfId="1586" xr:uid="{00000000-0005-0000-0000-000001110000}"/>
    <cellStyle name="Output 2 11 10 2" xfId="3942" xr:uid="{00000000-0005-0000-0000-000002110000}"/>
    <cellStyle name="Output 2 11 10 3" xfId="5840" xr:uid="{00000000-0005-0000-0000-000003110000}"/>
    <cellStyle name="Output 2 11 11" xfId="1587" xr:uid="{00000000-0005-0000-0000-000004110000}"/>
    <cellStyle name="Output 2 11 11 2" xfId="3943" xr:uid="{00000000-0005-0000-0000-000005110000}"/>
    <cellStyle name="Output 2 11 11 3" xfId="5841" xr:uid="{00000000-0005-0000-0000-000006110000}"/>
    <cellStyle name="Output 2 11 12" xfId="1588" xr:uid="{00000000-0005-0000-0000-000007110000}"/>
    <cellStyle name="Output 2 11 12 2" xfId="3944" xr:uid="{00000000-0005-0000-0000-000008110000}"/>
    <cellStyle name="Output 2 11 12 3" xfId="5842" xr:uid="{00000000-0005-0000-0000-000009110000}"/>
    <cellStyle name="Output 2 11 13" xfId="1589" xr:uid="{00000000-0005-0000-0000-00000A110000}"/>
    <cellStyle name="Output 2 11 13 2" xfId="3945" xr:uid="{00000000-0005-0000-0000-00000B110000}"/>
    <cellStyle name="Output 2 11 13 3" xfId="5843" xr:uid="{00000000-0005-0000-0000-00000C110000}"/>
    <cellStyle name="Output 2 11 14" xfId="1590" xr:uid="{00000000-0005-0000-0000-00000D110000}"/>
    <cellStyle name="Output 2 11 14 2" xfId="3946" xr:uid="{00000000-0005-0000-0000-00000E110000}"/>
    <cellStyle name="Output 2 11 14 3" xfId="5844" xr:uid="{00000000-0005-0000-0000-00000F110000}"/>
    <cellStyle name="Output 2 11 15" xfId="1591" xr:uid="{00000000-0005-0000-0000-000010110000}"/>
    <cellStyle name="Output 2 11 15 2" xfId="3947" xr:uid="{00000000-0005-0000-0000-000011110000}"/>
    <cellStyle name="Output 2 11 15 3" xfId="5845" xr:uid="{00000000-0005-0000-0000-000012110000}"/>
    <cellStyle name="Output 2 11 16" xfId="1592" xr:uid="{00000000-0005-0000-0000-000013110000}"/>
    <cellStyle name="Output 2 11 16 2" xfId="3948" xr:uid="{00000000-0005-0000-0000-000014110000}"/>
    <cellStyle name="Output 2 11 16 3" xfId="5846" xr:uid="{00000000-0005-0000-0000-000015110000}"/>
    <cellStyle name="Output 2 11 17" xfId="1593" xr:uid="{00000000-0005-0000-0000-000016110000}"/>
    <cellStyle name="Output 2 11 17 2" xfId="3949" xr:uid="{00000000-0005-0000-0000-000017110000}"/>
    <cellStyle name="Output 2 11 17 3" xfId="5847" xr:uid="{00000000-0005-0000-0000-000018110000}"/>
    <cellStyle name="Output 2 11 18" xfId="1594" xr:uid="{00000000-0005-0000-0000-000019110000}"/>
    <cellStyle name="Output 2 11 18 2" xfId="3950" xr:uid="{00000000-0005-0000-0000-00001A110000}"/>
    <cellStyle name="Output 2 11 18 3" xfId="5848" xr:uid="{00000000-0005-0000-0000-00001B110000}"/>
    <cellStyle name="Output 2 11 19" xfId="1595" xr:uid="{00000000-0005-0000-0000-00001C110000}"/>
    <cellStyle name="Output 2 11 19 2" xfId="3951" xr:uid="{00000000-0005-0000-0000-00001D110000}"/>
    <cellStyle name="Output 2 11 19 3" xfId="5849" xr:uid="{00000000-0005-0000-0000-00001E110000}"/>
    <cellStyle name="Output 2 11 2" xfId="1596" xr:uid="{00000000-0005-0000-0000-00001F110000}"/>
    <cellStyle name="Output 2 11 2 2" xfId="3952" xr:uid="{00000000-0005-0000-0000-000020110000}"/>
    <cellStyle name="Output 2 11 2 3" xfId="5850" xr:uid="{00000000-0005-0000-0000-000021110000}"/>
    <cellStyle name="Output 2 11 20" xfId="1597" xr:uid="{00000000-0005-0000-0000-000022110000}"/>
    <cellStyle name="Output 2 11 20 2" xfId="3953" xr:uid="{00000000-0005-0000-0000-000023110000}"/>
    <cellStyle name="Output 2 11 20 3" xfId="5851" xr:uid="{00000000-0005-0000-0000-000024110000}"/>
    <cellStyle name="Output 2 11 21" xfId="1598" xr:uid="{00000000-0005-0000-0000-000025110000}"/>
    <cellStyle name="Output 2 11 21 2" xfId="3954" xr:uid="{00000000-0005-0000-0000-000026110000}"/>
    <cellStyle name="Output 2 11 21 3" xfId="5852" xr:uid="{00000000-0005-0000-0000-000027110000}"/>
    <cellStyle name="Output 2 11 22" xfId="1599" xr:uid="{00000000-0005-0000-0000-000028110000}"/>
    <cellStyle name="Output 2 11 22 2" xfId="3955" xr:uid="{00000000-0005-0000-0000-000029110000}"/>
    <cellStyle name="Output 2 11 22 3" xfId="5853" xr:uid="{00000000-0005-0000-0000-00002A110000}"/>
    <cellStyle name="Output 2 11 23" xfId="1600" xr:uid="{00000000-0005-0000-0000-00002B110000}"/>
    <cellStyle name="Output 2 11 23 2" xfId="3956" xr:uid="{00000000-0005-0000-0000-00002C110000}"/>
    <cellStyle name="Output 2 11 23 3" xfId="5854" xr:uid="{00000000-0005-0000-0000-00002D110000}"/>
    <cellStyle name="Output 2 11 24" xfId="3941" xr:uid="{00000000-0005-0000-0000-00002E110000}"/>
    <cellStyle name="Output 2 11 25" xfId="5839" xr:uid="{00000000-0005-0000-0000-00002F110000}"/>
    <cellStyle name="Output 2 11 3" xfId="1601" xr:uid="{00000000-0005-0000-0000-000030110000}"/>
    <cellStyle name="Output 2 11 3 2" xfId="3957" xr:uid="{00000000-0005-0000-0000-000031110000}"/>
    <cellStyle name="Output 2 11 3 3" xfId="5855" xr:uid="{00000000-0005-0000-0000-000032110000}"/>
    <cellStyle name="Output 2 11 4" xfId="1602" xr:uid="{00000000-0005-0000-0000-000033110000}"/>
    <cellStyle name="Output 2 11 4 2" xfId="3958" xr:uid="{00000000-0005-0000-0000-000034110000}"/>
    <cellStyle name="Output 2 11 4 3" xfId="5856" xr:uid="{00000000-0005-0000-0000-000035110000}"/>
    <cellStyle name="Output 2 11 5" xfId="1603" xr:uid="{00000000-0005-0000-0000-000036110000}"/>
    <cellStyle name="Output 2 11 5 2" xfId="3959" xr:uid="{00000000-0005-0000-0000-000037110000}"/>
    <cellStyle name="Output 2 11 5 3" xfId="5857" xr:uid="{00000000-0005-0000-0000-000038110000}"/>
    <cellStyle name="Output 2 11 6" xfId="1604" xr:uid="{00000000-0005-0000-0000-000039110000}"/>
    <cellStyle name="Output 2 11 6 2" xfId="3960" xr:uid="{00000000-0005-0000-0000-00003A110000}"/>
    <cellStyle name="Output 2 11 6 3" xfId="5858" xr:uid="{00000000-0005-0000-0000-00003B110000}"/>
    <cellStyle name="Output 2 11 7" xfId="1605" xr:uid="{00000000-0005-0000-0000-00003C110000}"/>
    <cellStyle name="Output 2 11 7 2" xfId="3961" xr:uid="{00000000-0005-0000-0000-00003D110000}"/>
    <cellStyle name="Output 2 11 7 3" xfId="5859" xr:uid="{00000000-0005-0000-0000-00003E110000}"/>
    <cellStyle name="Output 2 11 8" xfId="1606" xr:uid="{00000000-0005-0000-0000-00003F110000}"/>
    <cellStyle name="Output 2 11 8 2" xfId="3962" xr:uid="{00000000-0005-0000-0000-000040110000}"/>
    <cellStyle name="Output 2 11 8 3" xfId="5860" xr:uid="{00000000-0005-0000-0000-000041110000}"/>
    <cellStyle name="Output 2 11 9" xfId="1607" xr:uid="{00000000-0005-0000-0000-000042110000}"/>
    <cellStyle name="Output 2 11 9 2" xfId="3963" xr:uid="{00000000-0005-0000-0000-000043110000}"/>
    <cellStyle name="Output 2 11 9 3" xfId="5861" xr:uid="{00000000-0005-0000-0000-000044110000}"/>
    <cellStyle name="Output 2 12" xfId="1608" xr:uid="{00000000-0005-0000-0000-000045110000}"/>
    <cellStyle name="Output 2 12 10" xfId="1609" xr:uid="{00000000-0005-0000-0000-000046110000}"/>
    <cellStyle name="Output 2 12 10 2" xfId="3965" xr:uid="{00000000-0005-0000-0000-000047110000}"/>
    <cellStyle name="Output 2 12 10 3" xfId="5863" xr:uid="{00000000-0005-0000-0000-000048110000}"/>
    <cellStyle name="Output 2 12 11" xfId="1610" xr:uid="{00000000-0005-0000-0000-000049110000}"/>
    <cellStyle name="Output 2 12 11 2" xfId="3966" xr:uid="{00000000-0005-0000-0000-00004A110000}"/>
    <cellStyle name="Output 2 12 11 3" xfId="5864" xr:uid="{00000000-0005-0000-0000-00004B110000}"/>
    <cellStyle name="Output 2 12 12" xfId="1611" xr:uid="{00000000-0005-0000-0000-00004C110000}"/>
    <cellStyle name="Output 2 12 12 2" xfId="3967" xr:uid="{00000000-0005-0000-0000-00004D110000}"/>
    <cellStyle name="Output 2 12 12 3" xfId="5865" xr:uid="{00000000-0005-0000-0000-00004E110000}"/>
    <cellStyle name="Output 2 12 13" xfId="1612" xr:uid="{00000000-0005-0000-0000-00004F110000}"/>
    <cellStyle name="Output 2 12 13 2" xfId="3968" xr:uid="{00000000-0005-0000-0000-000050110000}"/>
    <cellStyle name="Output 2 12 13 3" xfId="5866" xr:uid="{00000000-0005-0000-0000-000051110000}"/>
    <cellStyle name="Output 2 12 14" xfId="1613" xr:uid="{00000000-0005-0000-0000-000052110000}"/>
    <cellStyle name="Output 2 12 14 2" xfId="3969" xr:uid="{00000000-0005-0000-0000-000053110000}"/>
    <cellStyle name="Output 2 12 14 3" xfId="5867" xr:uid="{00000000-0005-0000-0000-000054110000}"/>
    <cellStyle name="Output 2 12 15" xfId="1614" xr:uid="{00000000-0005-0000-0000-000055110000}"/>
    <cellStyle name="Output 2 12 15 2" xfId="3970" xr:uid="{00000000-0005-0000-0000-000056110000}"/>
    <cellStyle name="Output 2 12 15 3" xfId="5868" xr:uid="{00000000-0005-0000-0000-000057110000}"/>
    <cellStyle name="Output 2 12 16" xfId="1615" xr:uid="{00000000-0005-0000-0000-000058110000}"/>
    <cellStyle name="Output 2 12 16 2" xfId="3971" xr:uid="{00000000-0005-0000-0000-000059110000}"/>
    <cellStyle name="Output 2 12 16 3" xfId="5869" xr:uid="{00000000-0005-0000-0000-00005A110000}"/>
    <cellStyle name="Output 2 12 17" xfId="1616" xr:uid="{00000000-0005-0000-0000-00005B110000}"/>
    <cellStyle name="Output 2 12 17 2" xfId="3972" xr:uid="{00000000-0005-0000-0000-00005C110000}"/>
    <cellStyle name="Output 2 12 17 3" xfId="5870" xr:uid="{00000000-0005-0000-0000-00005D110000}"/>
    <cellStyle name="Output 2 12 18" xfId="1617" xr:uid="{00000000-0005-0000-0000-00005E110000}"/>
    <cellStyle name="Output 2 12 18 2" xfId="3973" xr:uid="{00000000-0005-0000-0000-00005F110000}"/>
    <cellStyle name="Output 2 12 18 3" xfId="5871" xr:uid="{00000000-0005-0000-0000-000060110000}"/>
    <cellStyle name="Output 2 12 19" xfId="1618" xr:uid="{00000000-0005-0000-0000-000061110000}"/>
    <cellStyle name="Output 2 12 19 2" xfId="3974" xr:uid="{00000000-0005-0000-0000-000062110000}"/>
    <cellStyle name="Output 2 12 19 3" xfId="5872" xr:uid="{00000000-0005-0000-0000-000063110000}"/>
    <cellStyle name="Output 2 12 2" xfId="1619" xr:uid="{00000000-0005-0000-0000-000064110000}"/>
    <cellStyle name="Output 2 12 2 2" xfId="3975" xr:uid="{00000000-0005-0000-0000-000065110000}"/>
    <cellStyle name="Output 2 12 2 3" xfId="5873" xr:uid="{00000000-0005-0000-0000-000066110000}"/>
    <cellStyle name="Output 2 12 20" xfId="1620" xr:uid="{00000000-0005-0000-0000-000067110000}"/>
    <cellStyle name="Output 2 12 20 2" xfId="3976" xr:uid="{00000000-0005-0000-0000-000068110000}"/>
    <cellStyle name="Output 2 12 20 3" xfId="5874" xr:uid="{00000000-0005-0000-0000-000069110000}"/>
    <cellStyle name="Output 2 12 21" xfId="1621" xr:uid="{00000000-0005-0000-0000-00006A110000}"/>
    <cellStyle name="Output 2 12 21 2" xfId="3977" xr:uid="{00000000-0005-0000-0000-00006B110000}"/>
    <cellStyle name="Output 2 12 21 3" xfId="5875" xr:uid="{00000000-0005-0000-0000-00006C110000}"/>
    <cellStyle name="Output 2 12 22" xfId="1622" xr:uid="{00000000-0005-0000-0000-00006D110000}"/>
    <cellStyle name="Output 2 12 22 2" xfId="3978" xr:uid="{00000000-0005-0000-0000-00006E110000}"/>
    <cellStyle name="Output 2 12 22 3" xfId="5876" xr:uid="{00000000-0005-0000-0000-00006F110000}"/>
    <cellStyle name="Output 2 12 23" xfId="1623" xr:uid="{00000000-0005-0000-0000-000070110000}"/>
    <cellStyle name="Output 2 12 23 2" xfId="3979" xr:uid="{00000000-0005-0000-0000-000071110000}"/>
    <cellStyle name="Output 2 12 23 3" xfId="5877" xr:uid="{00000000-0005-0000-0000-000072110000}"/>
    <cellStyle name="Output 2 12 24" xfId="3964" xr:uid="{00000000-0005-0000-0000-000073110000}"/>
    <cellStyle name="Output 2 12 25" xfId="5862" xr:uid="{00000000-0005-0000-0000-000074110000}"/>
    <cellStyle name="Output 2 12 3" xfId="1624" xr:uid="{00000000-0005-0000-0000-000075110000}"/>
    <cellStyle name="Output 2 12 3 2" xfId="3980" xr:uid="{00000000-0005-0000-0000-000076110000}"/>
    <cellStyle name="Output 2 12 3 3" xfId="5878" xr:uid="{00000000-0005-0000-0000-000077110000}"/>
    <cellStyle name="Output 2 12 4" xfId="1625" xr:uid="{00000000-0005-0000-0000-000078110000}"/>
    <cellStyle name="Output 2 12 4 2" xfId="3981" xr:uid="{00000000-0005-0000-0000-000079110000}"/>
    <cellStyle name="Output 2 12 4 3" xfId="5879" xr:uid="{00000000-0005-0000-0000-00007A110000}"/>
    <cellStyle name="Output 2 12 5" xfId="1626" xr:uid="{00000000-0005-0000-0000-00007B110000}"/>
    <cellStyle name="Output 2 12 5 2" xfId="3982" xr:uid="{00000000-0005-0000-0000-00007C110000}"/>
    <cellStyle name="Output 2 12 5 3" xfId="5880" xr:uid="{00000000-0005-0000-0000-00007D110000}"/>
    <cellStyle name="Output 2 12 6" xfId="1627" xr:uid="{00000000-0005-0000-0000-00007E110000}"/>
    <cellStyle name="Output 2 12 6 2" xfId="3983" xr:uid="{00000000-0005-0000-0000-00007F110000}"/>
    <cellStyle name="Output 2 12 6 3" xfId="5881" xr:uid="{00000000-0005-0000-0000-000080110000}"/>
    <cellStyle name="Output 2 12 7" xfId="1628" xr:uid="{00000000-0005-0000-0000-000081110000}"/>
    <cellStyle name="Output 2 12 7 2" xfId="3984" xr:uid="{00000000-0005-0000-0000-000082110000}"/>
    <cellStyle name="Output 2 12 7 3" xfId="5882" xr:uid="{00000000-0005-0000-0000-000083110000}"/>
    <cellStyle name="Output 2 12 8" xfId="1629" xr:uid="{00000000-0005-0000-0000-000084110000}"/>
    <cellStyle name="Output 2 12 8 2" xfId="3985" xr:uid="{00000000-0005-0000-0000-000085110000}"/>
    <cellStyle name="Output 2 12 8 3" xfId="5883" xr:uid="{00000000-0005-0000-0000-000086110000}"/>
    <cellStyle name="Output 2 12 9" xfId="1630" xr:uid="{00000000-0005-0000-0000-000087110000}"/>
    <cellStyle name="Output 2 12 9 2" xfId="3986" xr:uid="{00000000-0005-0000-0000-000088110000}"/>
    <cellStyle name="Output 2 12 9 3" xfId="5884" xr:uid="{00000000-0005-0000-0000-000089110000}"/>
    <cellStyle name="Output 2 13" xfId="1631" xr:uid="{00000000-0005-0000-0000-00008A110000}"/>
    <cellStyle name="Output 2 13 10" xfId="1632" xr:uid="{00000000-0005-0000-0000-00008B110000}"/>
    <cellStyle name="Output 2 13 10 2" xfId="3988" xr:uid="{00000000-0005-0000-0000-00008C110000}"/>
    <cellStyle name="Output 2 13 10 3" xfId="5886" xr:uid="{00000000-0005-0000-0000-00008D110000}"/>
    <cellStyle name="Output 2 13 11" xfId="1633" xr:uid="{00000000-0005-0000-0000-00008E110000}"/>
    <cellStyle name="Output 2 13 11 2" xfId="3989" xr:uid="{00000000-0005-0000-0000-00008F110000}"/>
    <cellStyle name="Output 2 13 11 3" xfId="5887" xr:uid="{00000000-0005-0000-0000-000090110000}"/>
    <cellStyle name="Output 2 13 12" xfId="1634" xr:uid="{00000000-0005-0000-0000-000091110000}"/>
    <cellStyle name="Output 2 13 12 2" xfId="3990" xr:uid="{00000000-0005-0000-0000-000092110000}"/>
    <cellStyle name="Output 2 13 12 3" xfId="5888" xr:uid="{00000000-0005-0000-0000-000093110000}"/>
    <cellStyle name="Output 2 13 13" xfId="1635" xr:uid="{00000000-0005-0000-0000-000094110000}"/>
    <cellStyle name="Output 2 13 13 2" xfId="3991" xr:uid="{00000000-0005-0000-0000-000095110000}"/>
    <cellStyle name="Output 2 13 13 3" xfId="5889" xr:uid="{00000000-0005-0000-0000-000096110000}"/>
    <cellStyle name="Output 2 13 14" xfId="1636" xr:uid="{00000000-0005-0000-0000-000097110000}"/>
    <cellStyle name="Output 2 13 14 2" xfId="3992" xr:uid="{00000000-0005-0000-0000-000098110000}"/>
    <cellStyle name="Output 2 13 14 3" xfId="5890" xr:uid="{00000000-0005-0000-0000-000099110000}"/>
    <cellStyle name="Output 2 13 15" xfId="1637" xr:uid="{00000000-0005-0000-0000-00009A110000}"/>
    <cellStyle name="Output 2 13 15 2" xfId="3993" xr:uid="{00000000-0005-0000-0000-00009B110000}"/>
    <cellStyle name="Output 2 13 15 3" xfId="5891" xr:uid="{00000000-0005-0000-0000-00009C110000}"/>
    <cellStyle name="Output 2 13 16" xfId="1638" xr:uid="{00000000-0005-0000-0000-00009D110000}"/>
    <cellStyle name="Output 2 13 16 2" xfId="3994" xr:uid="{00000000-0005-0000-0000-00009E110000}"/>
    <cellStyle name="Output 2 13 16 3" xfId="5892" xr:uid="{00000000-0005-0000-0000-00009F110000}"/>
    <cellStyle name="Output 2 13 17" xfId="1639" xr:uid="{00000000-0005-0000-0000-0000A0110000}"/>
    <cellStyle name="Output 2 13 17 2" xfId="3995" xr:uid="{00000000-0005-0000-0000-0000A1110000}"/>
    <cellStyle name="Output 2 13 17 3" xfId="5893" xr:uid="{00000000-0005-0000-0000-0000A2110000}"/>
    <cellStyle name="Output 2 13 18" xfId="1640" xr:uid="{00000000-0005-0000-0000-0000A3110000}"/>
    <cellStyle name="Output 2 13 18 2" xfId="3996" xr:uid="{00000000-0005-0000-0000-0000A4110000}"/>
    <cellStyle name="Output 2 13 18 3" xfId="5894" xr:uid="{00000000-0005-0000-0000-0000A5110000}"/>
    <cellStyle name="Output 2 13 19" xfId="1641" xr:uid="{00000000-0005-0000-0000-0000A6110000}"/>
    <cellStyle name="Output 2 13 19 2" xfId="3997" xr:uid="{00000000-0005-0000-0000-0000A7110000}"/>
    <cellStyle name="Output 2 13 19 3" xfId="5895" xr:uid="{00000000-0005-0000-0000-0000A8110000}"/>
    <cellStyle name="Output 2 13 2" xfId="1642" xr:uid="{00000000-0005-0000-0000-0000A9110000}"/>
    <cellStyle name="Output 2 13 2 2" xfId="3998" xr:uid="{00000000-0005-0000-0000-0000AA110000}"/>
    <cellStyle name="Output 2 13 2 3" xfId="5896" xr:uid="{00000000-0005-0000-0000-0000AB110000}"/>
    <cellStyle name="Output 2 13 20" xfId="1643" xr:uid="{00000000-0005-0000-0000-0000AC110000}"/>
    <cellStyle name="Output 2 13 20 2" xfId="3999" xr:uid="{00000000-0005-0000-0000-0000AD110000}"/>
    <cellStyle name="Output 2 13 20 3" xfId="5897" xr:uid="{00000000-0005-0000-0000-0000AE110000}"/>
    <cellStyle name="Output 2 13 21" xfId="1644" xr:uid="{00000000-0005-0000-0000-0000AF110000}"/>
    <cellStyle name="Output 2 13 21 2" xfId="4000" xr:uid="{00000000-0005-0000-0000-0000B0110000}"/>
    <cellStyle name="Output 2 13 21 3" xfId="5898" xr:uid="{00000000-0005-0000-0000-0000B1110000}"/>
    <cellStyle name="Output 2 13 22" xfId="1645" xr:uid="{00000000-0005-0000-0000-0000B2110000}"/>
    <cellStyle name="Output 2 13 22 2" xfId="4001" xr:uid="{00000000-0005-0000-0000-0000B3110000}"/>
    <cellStyle name="Output 2 13 22 3" xfId="5899" xr:uid="{00000000-0005-0000-0000-0000B4110000}"/>
    <cellStyle name="Output 2 13 23" xfId="1646" xr:uid="{00000000-0005-0000-0000-0000B5110000}"/>
    <cellStyle name="Output 2 13 23 2" xfId="4002" xr:uid="{00000000-0005-0000-0000-0000B6110000}"/>
    <cellStyle name="Output 2 13 23 3" xfId="5900" xr:uid="{00000000-0005-0000-0000-0000B7110000}"/>
    <cellStyle name="Output 2 13 24" xfId="3987" xr:uid="{00000000-0005-0000-0000-0000B8110000}"/>
    <cellStyle name="Output 2 13 25" xfId="5885" xr:uid="{00000000-0005-0000-0000-0000B9110000}"/>
    <cellStyle name="Output 2 13 3" xfId="1647" xr:uid="{00000000-0005-0000-0000-0000BA110000}"/>
    <cellStyle name="Output 2 13 3 2" xfId="4003" xr:uid="{00000000-0005-0000-0000-0000BB110000}"/>
    <cellStyle name="Output 2 13 3 3" xfId="5901" xr:uid="{00000000-0005-0000-0000-0000BC110000}"/>
    <cellStyle name="Output 2 13 4" xfId="1648" xr:uid="{00000000-0005-0000-0000-0000BD110000}"/>
    <cellStyle name="Output 2 13 4 2" xfId="4004" xr:uid="{00000000-0005-0000-0000-0000BE110000}"/>
    <cellStyle name="Output 2 13 4 3" xfId="5902" xr:uid="{00000000-0005-0000-0000-0000BF110000}"/>
    <cellStyle name="Output 2 13 5" xfId="1649" xr:uid="{00000000-0005-0000-0000-0000C0110000}"/>
    <cellStyle name="Output 2 13 5 2" xfId="4005" xr:uid="{00000000-0005-0000-0000-0000C1110000}"/>
    <cellStyle name="Output 2 13 5 3" xfId="5903" xr:uid="{00000000-0005-0000-0000-0000C2110000}"/>
    <cellStyle name="Output 2 13 6" xfId="1650" xr:uid="{00000000-0005-0000-0000-0000C3110000}"/>
    <cellStyle name="Output 2 13 6 2" xfId="4006" xr:uid="{00000000-0005-0000-0000-0000C4110000}"/>
    <cellStyle name="Output 2 13 6 3" xfId="5904" xr:uid="{00000000-0005-0000-0000-0000C5110000}"/>
    <cellStyle name="Output 2 13 7" xfId="1651" xr:uid="{00000000-0005-0000-0000-0000C6110000}"/>
    <cellStyle name="Output 2 13 7 2" xfId="4007" xr:uid="{00000000-0005-0000-0000-0000C7110000}"/>
    <cellStyle name="Output 2 13 7 3" xfId="5905" xr:uid="{00000000-0005-0000-0000-0000C8110000}"/>
    <cellStyle name="Output 2 13 8" xfId="1652" xr:uid="{00000000-0005-0000-0000-0000C9110000}"/>
    <cellStyle name="Output 2 13 8 2" xfId="4008" xr:uid="{00000000-0005-0000-0000-0000CA110000}"/>
    <cellStyle name="Output 2 13 8 3" xfId="5906" xr:uid="{00000000-0005-0000-0000-0000CB110000}"/>
    <cellStyle name="Output 2 13 9" xfId="1653" xr:uid="{00000000-0005-0000-0000-0000CC110000}"/>
    <cellStyle name="Output 2 13 9 2" xfId="4009" xr:uid="{00000000-0005-0000-0000-0000CD110000}"/>
    <cellStyle name="Output 2 13 9 3" xfId="5907" xr:uid="{00000000-0005-0000-0000-0000CE110000}"/>
    <cellStyle name="Output 2 14" xfId="1654" xr:uid="{00000000-0005-0000-0000-0000CF110000}"/>
    <cellStyle name="Output 2 14 10" xfId="1655" xr:uid="{00000000-0005-0000-0000-0000D0110000}"/>
    <cellStyle name="Output 2 14 10 2" xfId="4011" xr:uid="{00000000-0005-0000-0000-0000D1110000}"/>
    <cellStyle name="Output 2 14 10 3" xfId="5909" xr:uid="{00000000-0005-0000-0000-0000D2110000}"/>
    <cellStyle name="Output 2 14 11" xfId="1656" xr:uid="{00000000-0005-0000-0000-0000D3110000}"/>
    <cellStyle name="Output 2 14 11 2" xfId="4012" xr:uid="{00000000-0005-0000-0000-0000D4110000}"/>
    <cellStyle name="Output 2 14 11 3" xfId="5910" xr:uid="{00000000-0005-0000-0000-0000D5110000}"/>
    <cellStyle name="Output 2 14 12" xfId="1657" xr:uid="{00000000-0005-0000-0000-0000D6110000}"/>
    <cellStyle name="Output 2 14 12 2" xfId="4013" xr:uid="{00000000-0005-0000-0000-0000D7110000}"/>
    <cellStyle name="Output 2 14 12 3" xfId="5911" xr:uid="{00000000-0005-0000-0000-0000D8110000}"/>
    <cellStyle name="Output 2 14 13" xfId="1658" xr:uid="{00000000-0005-0000-0000-0000D9110000}"/>
    <cellStyle name="Output 2 14 13 2" xfId="4014" xr:uid="{00000000-0005-0000-0000-0000DA110000}"/>
    <cellStyle name="Output 2 14 13 3" xfId="5912" xr:uid="{00000000-0005-0000-0000-0000DB110000}"/>
    <cellStyle name="Output 2 14 14" xfId="1659" xr:uid="{00000000-0005-0000-0000-0000DC110000}"/>
    <cellStyle name="Output 2 14 14 2" xfId="4015" xr:uid="{00000000-0005-0000-0000-0000DD110000}"/>
    <cellStyle name="Output 2 14 14 3" xfId="5913" xr:uid="{00000000-0005-0000-0000-0000DE110000}"/>
    <cellStyle name="Output 2 14 15" xfId="1660" xr:uid="{00000000-0005-0000-0000-0000DF110000}"/>
    <cellStyle name="Output 2 14 15 2" xfId="4016" xr:uid="{00000000-0005-0000-0000-0000E0110000}"/>
    <cellStyle name="Output 2 14 15 3" xfId="5914" xr:uid="{00000000-0005-0000-0000-0000E1110000}"/>
    <cellStyle name="Output 2 14 16" xfId="1661" xr:uid="{00000000-0005-0000-0000-0000E2110000}"/>
    <cellStyle name="Output 2 14 16 2" xfId="4017" xr:uid="{00000000-0005-0000-0000-0000E3110000}"/>
    <cellStyle name="Output 2 14 16 3" xfId="5915" xr:uid="{00000000-0005-0000-0000-0000E4110000}"/>
    <cellStyle name="Output 2 14 17" xfId="1662" xr:uid="{00000000-0005-0000-0000-0000E5110000}"/>
    <cellStyle name="Output 2 14 17 2" xfId="4018" xr:uid="{00000000-0005-0000-0000-0000E6110000}"/>
    <cellStyle name="Output 2 14 17 3" xfId="5916" xr:uid="{00000000-0005-0000-0000-0000E7110000}"/>
    <cellStyle name="Output 2 14 18" xfId="1663" xr:uid="{00000000-0005-0000-0000-0000E8110000}"/>
    <cellStyle name="Output 2 14 18 2" xfId="4019" xr:uid="{00000000-0005-0000-0000-0000E9110000}"/>
    <cellStyle name="Output 2 14 18 3" xfId="5917" xr:uid="{00000000-0005-0000-0000-0000EA110000}"/>
    <cellStyle name="Output 2 14 19" xfId="1664" xr:uid="{00000000-0005-0000-0000-0000EB110000}"/>
    <cellStyle name="Output 2 14 19 2" xfId="4020" xr:uid="{00000000-0005-0000-0000-0000EC110000}"/>
    <cellStyle name="Output 2 14 19 3" xfId="5918" xr:uid="{00000000-0005-0000-0000-0000ED110000}"/>
    <cellStyle name="Output 2 14 2" xfId="1665" xr:uid="{00000000-0005-0000-0000-0000EE110000}"/>
    <cellStyle name="Output 2 14 2 2" xfId="4021" xr:uid="{00000000-0005-0000-0000-0000EF110000}"/>
    <cellStyle name="Output 2 14 2 3" xfId="5919" xr:uid="{00000000-0005-0000-0000-0000F0110000}"/>
    <cellStyle name="Output 2 14 20" xfId="1666" xr:uid="{00000000-0005-0000-0000-0000F1110000}"/>
    <cellStyle name="Output 2 14 20 2" xfId="4022" xr:uid="{00000000-0005-0000-0000-0000F2110000}"/>
    <cellStyle name="Output 2 14 20 3" xfId="5920" xr:uid="{00000000-0005-0000-0000-0000F3110000}"/>
    <cellStyle name="Output 2 14 21" xfId="1667" xr:uid="{00000000-0005-0000-0000-0000F4110000}"/>
    <cellStyle name="Output 2 14 21 2" xfId="4023" xr:uid="{00000000-0005-0000-0000-0000F5110000}"/>
    <cellStyle name="Output 2 14 21 3" xfId="5921" xr:uid="{00000000-0005-0000-0000-0000F6110000}"/>
    <cellStyle name="Output 2 14 22" xfId="1668" xr:uid="{00000000-0005-0000-0000-0000F7110000}"/>
    <cellStyle name="Output 2 14 22 2" xfId="4024" xr:uid="{00000000-0005-0000-0000-0000F8110000}"/>
    <cellStyle name="Output 2 14 22 3" xfId="5922" xr:uid="{00000000-0005-0000-0000-0000F9110000}"/>
    <cellStyle name="Output 2 14 23" xfId="1669" xr:uid="{00000000-0005-0000-0000-0000FA110000}"/>
    <cellStyle name="Output 2 14 23 2" xfId="4025" xr:uid="{00000000-0005-0000-0000-0000FB110000}"/>
    <cellStyle name="Output 2 14 23 3" xfId="5923" xr:uid="{00000000-0005-0000-0000-0000FC110000}"/>
    <cellStyle name="Output 2 14 24" xfId="4010" xr:uid="{00000000-0005-0000-0000-0000FD110000}"/>
    <cellStyle name="Output 2 14 25" xfId="5908" xr:uid="{00000000-0005-0000-0000-0000FE110000}"/>
    <cellStyle name="Output 2 14 3" xfId="1670" xr:uid="{00000000-0005-0000-0000-0000FF110000}"/>
    <cellStyle name="Output 2 14 3 2" xfId="4026" xr:uid="{00000000-0005-0000-0000-000000120000}"/>
    <cellStyle name="Output 2 14 3 3" xfId="5924" xr:uid="{00000000-0005-0000-0000-000001120000}"/>
    <cellStyle name="Output 2 14 4" xfId="1671" xr:uid="{00000000-0005-0000-0000-000002120000}"/>
    <cellStyle name="Output 2 14 4 2" xfId="4027" xr:uid="{00000000-0005-0000-0000-000003120000}"/>
    <cellStyle name="Output 2 14 4 3" xfId="5925" xr:uid="{00000000-0005-0000-0000-000004120000}"/>
    <cellStyle name="Output 2 14 5" xfId="1672" xr:uid="{00000000-0005-0000-0000-000005120000}"/>
    <cellStyle name="Output 2 14 5 2" xfId="4028" xr:uid="{00000000-0005-0000-0000-000006120000}"/>
    <cellStyle name="Output 2 14 5 3" xfId="5926" xr:uid="{00000000-0005-0000-0000-000007120000}"/>
    <cellStyle name="Output 2 14 6" xfId="1673" xr:uid="{00000000-0005-0000-0000-000008120000}"/>
    <cellStyle name="Output 2 14 6 2" xfId="4029" xr:uid="{00000000-0005-0000-0000-000009120000}"/>
    <cellStyle name="Output 2 14 6 3" xfId="5927" xr:uid="{00000000-0005-0000-0000-00000A120000}"/>
    <cellStyle name="Output 2 14 7" xfId="1674" xr:uid="{00000000-0005-0000-0000-00000B120000}"/>
    <cellStyle name="Output 2 14 7 2" xfId="4030" xr:uid="{00000000-0005-0000-0000-00000C120000}"/>
    <cellStyle name="Output 2 14 7 3" xfId="5928" xr:uid="{00000000-0005-0000-0000-00000D120000}"/>
    <cellStyle name="Output 2 14 8" xfId="1675" xr:uid="{00000000-0005-0000-0000-00000E120000}"/>
    <cellStyle name="Output 2 14 8 2" xfId="4031" xr:uid="{00000000-0005-0000-0000-00000F120000}"/>
    <cellStyle name="Output 2 14 8 3" xfId="5929" xr:uid="{00000000-0005-0000-0000-000010120000}"/>
    <cellStyle name="Output 2 14 9" xfId="1676" xr:uid="{00000000-0005-0000-0000-000011120000}"/>
    <cellStyle name="Output 2 14 9 2" xfId="4032" xr:uid="{00000000-0005-0000-0000-000012120000}"/>
    <cellStyle name="Output 2 14 9 3" xfId="5930" xr:uid="{00000000-0005-0000-0000-000013120000}"/>
    <cellStyle name="Output 2 15" xfId="1677" xr:uid="{00000000-0005-0000-0000-000014120000}"/>
    <cellStyle name="Output 2 15 10" xfId="1678" xr:uid="{00000000-0005-0000-0000-000015120000}"/>
    <cellStyle name="Output 2 15 10 2" xfId="4034" xr:uid="{00000000-0005-0000-0000-000016120000}"/>
    <cellStyle name="Output 2 15 10 3" xfId="5932" xr:uid="{00000000-0005-0000-0000-000017120000}"/>
    <cellStyle name="Output 2 15 11" xfId="1679" xr:uid="{00000000-0005-0000-0000-000018120000}"/>
    <cellStyle name="Output 2 15 11 2" xfId="4035" xr:uid="{00000000-0005-0000-0000-000019120000}"/>
    <cellStyle name="Output 2 15 11 3" xfId="5933" xr:uid="{00000000-0005-0000-0000-00001A120000}"/>
    <cellStyle name="Output 2 15 12" xfId="1680" xr:uid="{00000000-0005-0000-0000-00001B120000}"/>
    <cellStyle name="Output 2 15 12 2" xfId="4036" xr:uid="{00000000-0005-0000-0000-00001C120000}"/>
    <cellStyle name="Output 2 15 12 3" xfId="5934" xr:uid="{00000000-0005-0000-0000-00001D120000}"/>
    <cellStyle name="Output 2 15 13" xfId="1681" xr:uid="{00000000-0005-0000-0000-00001E120000}"/>
    <cellStyle name="Output 2 15 13 2" xfId="4037" xr:uid="{00000000-0005-0000-0000-00001F120000}"/>
    <cellStyle name="Output 2 15 13 3" xfId="5935" xr:uid="{00000000-0005-0000-0000-000020120000}"/>
    <cellStyle name="Output 2 15 14" xfId="1682" xr:uid="{00000000-0005-0000-0000-000021120000}"/>
    <cellStyle name="Output 2 15 14 2" xfId="4038" xr:uid="{00000000-0005-0000-0000-000022120000}"/>
    <cellStyle name="Output 2 15 14 3" xfId="5936" xr:uid="{00000000-0005-0000-0000-000023120000}"/>
    <cellStyle name="Output 2 15 15" xfId="1683" xr:uid="{00000000-0005-0000-0000-000024120000}"/>
    <cellStyle name="Output 2 15 15 2" xfId="4039" xr:uid="{00000000-0005-0000-0000-000025120000}"/>
    <cellStyle name="Output 2 15 15 3" xfId="5937" xr:uid="{00000000-0005-0000-0000-000026120000}"/>
    <cellStyle name="Output 2 15 16" xfId="1684" xr:uid="{00000000-0005-0000-0000-000027120000}"/>
    <cellStyle name="Output 2 15 16 2" xfId="4040" xr:uid="{00000000-0005-0000-0000-000028120000}"/>
    <cellStyle name="Output 2 15 16 3" xfId="5938" xr:uid="{00000000-0005-0000-0000-000029120000}"/>
    <cellStyle name="Output 2 15 17" xfId="1685" xr:uid="{00000000-0005-0000-0000-00002A120000}"/>
    <cellStyle name="Output 2 15 17 2" xfId="4041" xr:uid="{00000000-0005-0000-0000-00002B120000}"/>
    <cellStyle name="Output 2 15 17 3" xfId="5939" xr:uid="{00000000-0005-0000-0000-00002C120000}"/>
    <cellStyle name="Output 2 15 18" xfId="1686" xr:uid="{00000000-0005-0000-0000-00002D120000}"/>
    <cellStyle name="Output 2 15 18 2" xfId="4042" xr:uid="{00000000-0005-0000-0000-00002E120000}"/>
    <cellStyle name="Output 2 15 18 3" xfId="5940" xr:uid="{00000000-0005-0000-0000-00002F120000}"/>
    <cellStyle name="Output 2 15 19" xfId="1687" xr:uid="{00000000-0005-0000-0000-000030120000}"/>
    <cellStyle name="Output 2 15 19 2" xfId="4043" xr:uid="{00000000-0005-0000-0000-000031120000}"/>
    <cellStyle name="Output 2 15 19 3" xfId="5941" xr:uid="{00000000-0005-0000-0000-000032120000}"/>
    <cellStyle name="Output 2 15 2" xfId="1688" xr:uid="{00000000-0005-0000-0000-000033120000}"/>
    <cellStyle name="Output 2 15 2 2" xfId="4044" xr:uid="{00000000-0005-0000-0000-000034120000}"/>
    <cellStyle name="Output 2 15 2 3" xfId="5942" xr:uid="{00000000-0005-0000-0000-000035120000}"/>
    <cellStyle name="Output 2 15 20" xfId="1689" xr:uid="{00000000-0005-0000-0000-000036120000}"/>
    <cellStyle name="Output 2 15 20 2" xfId="4045" xr:uid="{00000000-0005-0000-0000-000037120000}"/>
    <cellStyle name="Output 2 15 20 3" xfId="5943" xr:uid="{00000000-0005-0000-0000-000038120000}"/>
    <cellStyle name="Output 2 15 21" xfId="1690" xr:uid="{00000000-0005-0000-0000-000039120000}"/>
    <cellStyle name="Output 2 15 21 2" xfId="4046" xr:uid="{00000000-0005-0000-0000-00003A120000}"/>
    <cellStyle name="Output 2 15 21 3" xfId="5944" xr:uid="{00000000-0005-0000-0000-00003B120000}"/>
    <cellStyle name="Output 2 15 22" xfId="1691" xr:uid="{00000000-0005-0000-0000-00003C120000}"/>
    <cellStyle name="Output 2 15 22 2" xfId="4047" xr:uid="{00000000-0005-0000-0000-00003D120000}"/>
    <cellStyle name="Output 2 15 22 3" xfId="5945" xr:uid="{00000000-0005-0000-0000-00003E120000}"/>
    <cellStyle name="Output 2 15 23" xfId="1692" xr:uid="{00000000-0005-0000-0000-00003F120000}"/>
    <cellStyle name="Output 2 15 23 2" xfId="4048" xr:uid="{00000000-0005-0000-0000-000040120000}"/>
    <cellStyle name="Output 2 15 23 3" xfId="5946" xr:uid="{00000000-0005-0000-0000-000041120000}"/>
    <cellStyle name="Output 2 15 24" xfId="4033" xr:uid="{00000000-0005-0000-0000-000042120000}"/>
    <cellStyle name="Output 2 15 25" xfId="5931" xr:uid="{00000000-0005-0000-0000-000043120000}"/>
    <cellStyle name="Output 2 15 3" xfId="1693" xr:uid="{00000000-0005-0000-0000-000044120000}"/>
    <cellStyle name="Output 2 15 3 2" xfId="4049" xr:uid="{00000000-0005-0000-0000-000045120000}"/>
    <cellStyle name="Output 2 15 3 3" xfId="5947" xr:uid="{00000000-0005-0000-0000-000046120000}"/>
    <cellStyle name="Output 2 15 4" xfId="1694" xr:uid="{00000000-0005-0000-0000-000047120000}"/>
    <cellStyle name="Output 2 15 4 2" xfId="4050" xr:uid="{00000000-0005-0000-0000-000048120000}"/>
    <cellStyle name="Output 2 15 4 3" xfId="5948" xr:uid="{00000000-0005-0000-0000-000049120000}"/>
    <cellStyle name="Output 2 15 5" xfId="1695" xr:uid="{00000000-0005-0000-0000-00004A120000}"/>
    <cellStyle name="Output 2 15 5 2" xfId="4051" xr:uid="{00000000-0005-0000-0000-00004B120000}"/>
    <cellStyle name="Output 2 15 5 3" xfId="5949" xr:uid="{00000000-0005-0000-0000-00004C120000}"/>
    <cellStyle name="Output 2 15 6" xfId="1696" xr:uid="{00000000-0005-0000-0000-00004D120000}"/>
    <cellStyle name="Output 2 15 6 2" xfId="4052" xr:uid="{00000000-0005-0000-0000-00004E120000}"/>
    <cellStyle name="Output 2 15 6 3" xfId="5950" xr:uid="{00000000-0005-0000-0000-00004F120000}"/>
    <cellStyle name="Output 2 15 7" xfId="1697" xr:uid="{00000000-0005-0000-0000-000050120000}"/>
    <cellStyle name="Output 2 15 7 2" xfId="4053" xr:uid="{00000000-0005-0000-0000-000051120000}"/>
    <cellStyle name="Output 2 15 7 3" xfId="5951" xr:uid="{00000000-0005-0000-0000-000052120000}"/>
    <cellStyle name="Output 2 15 8" xfId="1698" xr:uid="{00000000-0005-0000-0000-000053120000}"/>
    <cellStyle name="Output 2 15 8 2" xfId="4054" xr:uid="{00000000-0005-0000-0000-000054120000}"/>
    <cellStyle name="Output 2 15 8 3" xfId="5952" xr:uid="{00000000-0005-0000-0000-000055120000}"/>
    <cellStyle name="Output 2 15 9" xfId="1699" xr:uid="{00000000-0005-0000-0000-000056120000}"/>
    <cellStyle name="Output 2 15 9 2" xfId="4055" xr:uid="{00000000-0005-0000-0000-000057120000}"/>
    <cellStyle name="Output 2 15 9 3" xfId="5953" xr:uid="{00000000-0005-0000-0000-000058120000}"/>
    <cellStyle name="Output 2 16" xfId="1700" xr:uid="{00000000-0005-0000-0000-000059120000}"/>
    <cellStyle name="Output 2 16 2" xfId="4056" xr:uid="{00000000-0005-0000-0000-00005A120000}"/>
    <cellStyle name="Output 2 16 3" xfId="5954" xr:uid="{00000000-0005-0000-0000-00005B120000}"/>
    <cellStyle name="Output 2 17" xfId="1701" xr:uid="{00000000-0005-0000-0000-00005C120000}"/>
    <cellStyle name="Output 2 17 2" xfId="4057" xr:uid="{00000000-0005-0000-0000-00005D120000}"/>
    <cellStyle name="Output 2 17 3" xfId="5955" xr:uid="{00000000-0005-0000-0000-00005E120000}"/>
    <cellStyle name="Output 2 18" xfId="1702" xr:uid="{00000000-0005-0000-0000-00005F120000}"/>
    <cellStyle name="Output 2 18 2" xfId="4058" xr:uid="{00000000-0005-0000-0000-000060120000}"/>
    <cellStyle name="Output 2 18 3" xfId="5956" xr:uid="{00000000-0005-0000-0000-000061120000}"/>
    <cellStyle name="Output 2 19" xfId="1703" xr:uid="{00000000-0005-0000-0000-000062120000}"/>
    <cellStyle name="Output 2 19 2" xfId="4059" xr:uid="{00000000-0005-0000-0000-000063120000}"/>
    <cellStyle name="Output 2 19 3" xfId="5957" xr:uid="{00000000-0005-0000-0000-000064120000}"/>
    <cellStyle name="Output 2 2" xfId="1704" xr:uid="{00000000-0005-0000-0000-000065120000}"/>
    <cellStyle name="Output 2 2 10" xfId="1705" xr:uid="{00000000-0005-0000-0000-000066120000}"/>
    <cellStyle name="Output 2 2 10 2" xfId="4061" xr:uid="{00000000-0005-0000-0000-000067120000}"/>
    <cellStyle name="Output 2 2 10 3" xfId="5959" xr:uid="{00000000-0005-0000-0000-000068120000}"/>
    <cellStyle name="Output 2 2 11" xfId="1706" xr:uid="{00000000-0005-0000-0000-000069120000}"/>
    <cellStyle name="Output 2 2 11 2" xfId="4062" xr:uid="{00000000-0005-0000-0000-00006A120000}"/>
    <cellStyle name="Output 2 2 11 3" xfId="5960" xr:uid="{00000000-0005-0000-0000-00006B120000}"/>
    <cellStyle name="Output 2 2 12" xfId="1707" xr:uid="{00000000-0005-0000-0000-00006C120000}"/>
    <cellStyle name="Output 2 2 12 2" xfId="4063" xr:uid="{00000000-0005-0000-0000-00006D120000}"/>
    <cellStyle name="Output 2 2 12 3" xfId="5961" xr:uid="{00000000-0005-0000-0000-00006E120000}"/>
    <cellStyle name="Output 2 2 13" xfId="1708" xr:uid="{00000000-0005-0000-0000-00006F120000}"/>
    <cellStyle name="Output 2 2 13 2" xfId="4064" xr:uid="{00000000-0005-0000-0000-000070120000}"/>
    <cellStyle name="Output 2 2 13 3" xfId="5962" xr:uid="{00000000-0005-0000-0000-000071120000}"/>
    <cellStyle name="Output 2 2 14" xfId="1709" xr:uid="{00000000-0005-0000-0000-000072120000}"/>
    <cellStyle name="Output 2 2 14 2" xfId="4065" xr:uid="{00000000-0005-0000-0000-000073120000}"/>
    <cellStyle name="Output 2 2 14 3" xfId="5963" xr:uid="{00000000-0005-0000-0000-000074120000}"/>
    <cellStyle name="Output 2 2 15" xfId="1710" xr:uid="{00000000-0005-0000-0000-000075120000}"/>
    <cellStyle name="Output 2 2 15 2" xfId="4066" xr:uid="{00000000-0005-0000-0000-000076120000}"/>
    <cellStyle name="Output 2 2 15 3" xfId="5964" xr:uid="{00000000-0005-0000-0000-000077120000}"/>
    <cellStyle name="Output 2 2 16" xfId="1711" xr:uid="{00000000-0005-0000-0000-000078120000}"/>
    <cellStyle name="Output 2 2 16 2" xfId="4067" xr:uid="{00000000-0005-0000-0000-000079120000}"/>
    <cellStyle name="Output 2 2 16 3" xfId="5965" xr:uid="{00000000-0005-0000-0000-00007A120000}"/>
    <cellStyle name="Output 2 2 17" xfId="1712" xr:uid="{00000000-0005-0000-0000-00007B120000}"/>
    <cellStyle name="Output 2 2 17 2" xfId="4068" xr:uid="{00000000-0005-0000-0000-00007C120000}"/>
    <cellStyle name="Output 2 2 17 3" xfId="5966" xr:uid="{00000000-0005-0000-0000-00007D120000}"/>
    <cellStyle name="Output 2 2 18" xfId="1713" xr:uid="{00000000-0005-0000-0000-00007E120000}"/>
    <cellStyle name="Output 2 2 18 2" xfId="4069" xr:uid="{00000000-0005-0000-0000-00007F120000}"/>
    <cellStyle name="Output 2 2 18 3" xfId="5967" xr:uid="{00000000-0005-0000-0000-000080120000}"/>
    <cellStyle name="Output 2 2 19" xfId="1714" xr:uid="{00000000-0005-0000-0000-000081120000}"/>
    <cellStyle name="Output 2 2 19 2" xfId="4070" xr:uid="{00000000-0005-0000-0000-000082120000}"/>
    <cellStyle name="Output 2 2 19 3" xfId="5968" xr:uid="{00000000-0005-0000-0000-000083120000}"/>
    <cellStyle name="Output 2 2 2" xfId="1715" xr:uid="{00000000-0005-0000-0000-000084120000}"/>
    <cellStyle name="Output 2 2 2 2" xfId="4071" xr:uid="{00000000-0005-0000-0000-000085120000}"/>
    <cellStyle name="Output 2 2 2 3" xfId="5969" xr:uid="{00000000-0005-0000-0000-000086120000}"/>
    <cellStyle name="Output 2 2 20" xfId="1716" xr:uid="{00000000-0005-0000-0000-000087120000}"/>
    <cellStyle name="Output 2 2 20 2" xfId="4072" xr:uid="{00000000-0005-0000-0000-000088120000}"/>
    <cellStyle name="Output 2 2 20 3" xfId="5970" xr:uid="{00000000-0005-0000-0000-000089120000}"/>
    <cellStyle name="Output 2 2 21" xfId="1717" xr:uid="{00000000-0005-0000-0000-00008A120000}"/>
    <cellStyle name="Output 2 2 21 2" xfId="4073" xr:uid="{00000000-0005-0000-0000-00008B120000}"/>
    <cellStyle name="Output 2 2 21 3" xfId="5971" xr:uid="{00000000-0005-0000-0000-00008C120000}"/>
    <cellStyle name="Output 2 2 22" xfId="1718" xr:uid="{00000000-0005-0000-0000-00008D120000}"/>
    <cellStyle name="Output 2 2 22 2" xfId="4074" xr:uid="{00000000-0005-0000-0000-00008E120000}"/>
    <cellStyle name="Output 2 2 22 3" xfId="5972" xr:uid="{00000000-0005-0000-0000-00008F120000}"/>
    <cellStyle name="Output 2 2 23" xfId="1719" xr:uid="{00000000-0005-0000-0000-000090120000}"/>
    <cellStyle name="Output 2 2 23 2" xfId="4075" xr:uid="{00000000-0005-0000-0000-000091120000}"/>
    <cellStyle name="Output 2 2 23 3" xfId="5973" xr:uid="{00000000-0005-0000-0000-000092120000}"/>
    <cellStyle name="Output 2 2 24" xfId="4060" xr:uid="{00000000-0005-0000-0000-000093120000}"/>
    <cellStyle name="Output 2 2 25" xfId="5958" xr:uid="{00000000-0005-0000-0000-000094120000}"/>
    <cellStyle name="Output 2 2 3" xfId="1720" xr:uid="{00000000-0005-0000-0000-000095120000}"/>
    <cellStyle name="Output 2 2 3 2" xfId="4076" xr:uid="{00000000-0005-0000-0000-000096120000}"/>
    <cellStyle name="Output 2 2 3 3" xfId="5974" xr:uid="{00000000-0005-0000-0000-000097120000}"/>
    <cellStyle name="Output 2 2 4" xfId="1721" xr:uid="{00000000-0005-0000-0000-000098120000}"/>
    <cellStyle name="Output 2 2 4 2" xfId="4077" xr:uid="{00000000-0005-0000-0000-000099120000}"/>
    <cellStyle name="Output 2 2 4 3" xfId="5975" xr:uid="{00000000-0005-0000-0000-00009A120000}"/>
    <cellStyle name="Output 2 2 5" xfId="1722" xr:uid="{00000000-0005-0000-0000-00009B120000}"/>
    <cellStyle name="Output 2 2 5 2" xfId="4078" xr:uid="{00000000-0005-0000-0000-00009C120000}"/>
    <cellStyle name="Output 2 2 5 3" xfId="5976" xr:uid="{00000000-0005-0000-0000-00009D120000}"/>
    <cellStyle name="Output 2 2 6" xfId="1723" xr:uid="{00000000-0005-0000-0000-00009E120000}"/>
    <cellStyle name="Output 2 2 6 2" xfId="4079" xr:uid="{00000000-0005-0000-0000-00009F120000}"/>
    <cellStyle name="Output 2 2 6 3" xfId="5977" xr:uid="{00000000-0005-0000-0000-0000A0120000}"/>
    <cellStyle name="Output 2 2 7" xfId="1724" xr:uid="{00000000-0005-0000-0000-0000A1120000}"/>
    <cellStyle name="Output 2 2 7 2" xfId="4080" xr:uid="{00000000-0005-0000-0000-0000A2120000}"/>
    <cellStyle name="Output 2 2 7 3" xfId="5978" xr:uid="{00000000-0005-0000-0000-0000A3120000}"/>
    <cellStyle name="Output 2 2 8" xfId="1725" xr:uid="{00000000-0005-0000-0000-0000A4120000}"/>
    <cellStyle name="Output 2 2 8 2" xfId="4081" xr:uid="{00000000-0005-0000-0000-0000A5120000}"/>
    <cellStyle name="Output 2 2 8 3" xfId="5979" xr:uid="{00000000-0005-0000-0000-0000A6120000}"/>
    <cellStyle name="Output 2 2 9" xfId="1726" xr:uid="{00000000-0005-0000-0000-0000A7120000}"/>
    <cellStyle name="Output 2 2 9 2" xfId="4082" xr:uid="{00000000-0005-0000-0000-0000A8120000}"/>
    <cellStyle name="Output 2 2 9 3" xfId="5980" xr:uid="{00000000-0005-0000-0000-0000A9120000}"/>
    <cellStyle name="Output 2 20" xfId="1727" xr:uid="{00000000-0005-0000-0000-0000AA120000}"/>
    <cellStyle name="Output 2 20 2" xfId="4083" xr:uid="{00000000-0005-0000-0000-0000AB120000}"/>
    <cellStyle name="Output 2 20 3" xfId="5981" xr:uid="{00000000-0005-0000-0000-0000AC120000}"/>
    <cellStyle name="Output 2 21" xfId="1728" xr:uid="{00000000-0005-0000-0000-0000AD120000}"/>
    <cellStyle name="Output 2 21 2" xfId="4084" xr:uid="{00000000-0005-0000-0000-0000AE120000}"/>
    <cellStyle name="Output 2 21 3" xfId="5982" xr:uid="{00000000-0005-0000-0000-0000AF120000}"/>
    <cellStyle name="Output 2 22" xfId="1729" xr:uid="{00000000-0005-0000-0000-0000B0120000}"/>
    <cellStyle name="Output 2 22 2" xfId="4085" xr:uid="{00000000-0005-0000-0000-0000B1120000}"/>
    <cellStyle name="Output 2 22 3" xfId="5983" xr:uid="{00000000-0005-0000-0000-0000B2120000}"/>
    <cellStyle name="Output 2 23" xfId="1730" xr:uid="{00000000-0005-0000-0000-0000B3120000}"/>
    <cellStyle name="Output 2 23 2" xfId="4086" xr:uid="{00000000-0005-0000-0000-0000B4120000}"/>
    <cellStyle name="Output 2 23 3" xfId="5984" xr:uid="{00000000-0005-0000-0000-0000B5120000}"/>
    <cellStyle name="Output 2 24" xfId="1731" xr:uid="{00000000-0005-0000-0000-0000B6120000}"/>
    <cellStyle name="Output 2 24 2" xfId="4087" xr:uid="{00000000-0005-0000-0000-0000B7120000}"/>
    <cellStyle name="Output 2 24 3" xfId="5985" xr:uid="{00000000-0005-0000-0000-0000B8120000}"/>
    <cellStyle name="Output 2 25" xfId="1732" xr:uid="{00000000-0005-0000-0000-0000B9120000}"/>
    <cellStyle name="Output 2 25 2" xfId="4088" xr:uid="{00000000-0005-0000-0000-0000BA120000}"/>
    <cellStyle name="Output 2 25 3" xfId="5986" xr:uid="{00000000-0005-0000-0000-0000BB120000}"/>
    <cellStyle name="Output 2 26" xfId="1733" xr:uid="{00000000-0005-0000-0000-0000BC120000}"/>
    <cellStyle name="Output 2 26 2" xfId="4089" xr:uid="{00000000-0005-0000-0000-0000BD120000}"/>
    <cellStyle name="Output 2 26 3" xfId="5987" xr:uid="{00000000-0005-0000-0000-0000BE120000}"/>
    <cellStyle name="Output 2 27" xfId="1734" xr:uid="{00000000-0005-0000-0000-0000BF120000}"/>
    <cellStyle name="Output 2 27 2" xfId="4090" xr:uid="{00000000-0005-0000-0000-0000C0120000}"/>
    <cellStyle name="Output 2 27 3" xfId="5988" xr:uid="{00000000-0005-0000-0000-0000C1120000}"/>
    <cellStyle name="Output 2 28" xfId="1735" xr:uid="{00000000-0005-0000-0000-0000C2120000}"/>
    <cellStyle name="Output 2 28 2" xfId="4091" xr:uid="{00000000-0005-0000-0000-0000C3120000}"/>
    <cellStyle name="Output 2 28 3" xfId="5989" xr:uid="{00000000-0005-0000-0000-0000C4120000}"/>
    <cellStyle name="Output 2 29" xfId="1736" xr:uid="{00000000-0005-0000-0000-0000C5120000}"/>
    <cellStyle name="Output 2 29 2" xfId="4092" xr:uid="{00000000-0005-0000-0000-0000C6120000}"/>
    <cellStyle name="Output 2 29 3" xfId="5990" xr:uid="{00000000-0005-0000-0000-0000C7120000}"/>
    <cellStyle name="Output 2 3" xfId="1737" xr:uid="{00000000-0005-0000-0000-0000C8120000}"/>
    <cellStyle name="Output 2 3 10" xfId="1738" xr:uid="{00000000-0005-0000-0000-0000C9120000}"/>
    <cellStyle name="Output 2 3 10 2" xfId="4094" xr:uid="{00000000-0005-0000-0000-0000CA120000}"/>
    <cellStyle name="Output 2 3 10 3" xfId="5992" xr:uid="{00000000-0005-0000-0000-0000CB120000}"/>
    <cellStyle name="Output 2 3 11" xfId="1739" xr:uid="{00000000-0005-0000-0000-0000CC120000}"/>
    <cellStyle name="Output 2 3 11 2" xfId="4095" xr:uid="{00000000-0005-0000-0000-0000CD120000}"/>
    <cellStyle name="Output 2 3 11 3" xfId="5993" xr:uid="{00000000-0005-0000-0000-0000CE120000}"/>
    <cellStyle name="Output 2 3 12" xfId="1740" xr:uid="{00000000-0005-0000-0000-0000CF120000}"/>
    <cellStyle name="Output 2 3 12 2" xfId="4096" xr:uid="{00000000-0005-0000-0000-0000D0120000}"/>
    <cellStyle name="Output 2 3 12 3" xfId="5994" xr:uid="{00000000-0005-0000-0000-0000D1120000}"/>
    <cellStyle name="Output 2 3 13" xfId="1741" xr:uid="{00000000-0005-0000-0000-0000D2120000}"/>
    <cellStyle name="Output 2 3 13 2" xfId="4097" xr:uid="{00000000-0005-0000-0000-0000D3120000}"/>
    <cellStyle name="Output 2 3 13 3" xfId="5995" xr:uid="{00000000-0005-0000-0000-0000D4120000}"/>
    <cellStyle name="Output 2 3 14" xfId="1742" xr:uid="{00000000-0005-0000-0000-0000D5120000}"/>
    <cellStyle name="Output 2 3 14 2" xfId="4098" xr:uid="{00000000-0005-0000-0000-0000D6120000}"/>
    <cellStyle name="Output 2 3 14 3" xfId="5996" xr:uid="{00000000-0005-0000-0000-0000D7120000}"/>
    <cellStyle name="Output 2 3 15" xfId="1743" xr:uid="{00000000-0005-0000-0000-0000D8120000}"/>
    <cellStyle name="Output 2 3 15 2" xfId="4099" xr:uid="{00000000-0005-0000-0000-0000D9120000}"/>
    <cellStyle name="Output 2 3 15 3" xfId="5997" xr:uid="{00000000-0005-0000-0000-0000DA120000}"/>
    <cellStyle name="Output 2 3 16" xfId="1744" xr:uid="{00000000-0005-0000-0000-0000DB120000}"/>
    <cellStyle name="Output 2 3 16 2" xfId="4100" xr:uid="{00000000-0005-0000-0000-0000DC120000}"/>
    <cellStyle name="Output 2 3 16 3" xfId="5998" xr:uid="{00000000-0005-0000-0000-0000DD120000}"/>
    <cellStyle name="Output 2 3 17" xfId="1745" xr:uid="{00000000-0005-0000-0000-0000DE120000}"/>
    <cellStyle name="Output 2 3 17 2" xfId="4101" xr:uid="{00000000-0005-0000-0000-0000DF120000}"/>
    <cellStyle name="Output 2 3 17 3" xfId="5999" xr:uid="{00000000-0005-0000-0000-0000E0120000}"/>
    <cellStyle name="Output 2 3 18" xfId="1746" xr:uid="{00000000-0005-0000-0000-0000E1120000}"/>
    <cellStyle name="Output 2 3 18 2" xfId="4102" xr:uid="{00000000-0005-0000-0000-0000E2120000}"/>
    <cellStyle name="Output 2 3 18 3" xfId="6000" xr:uid="{00000000-0005-0000-0000-0000E3120000}"/>
    <cellStyle name="Output 2 3 19" xfId="1747" xr:uid="{00000000-0005-0000-0000-0000E4120000}"/>
    <cellStyle name="Output 2 3 19 2" xfId="4103" xr:uid="{00000000-0005-0000-0000-0000E5120000}"/>
    <cellStyle name="Output 2 3 19 3" xfId="6001" xr:uid="{00000000-0005-0000-0000-0000E6120000}"/>
    <cellStyle name="Output 2 3 2" xfId="1748" xr:uid="{00000000-0005-0000-0000-0000E7120000}"/>
    <cellStyle name="Output 2 3 2 2" xfId="4104" xr:uid="{00000000-0005-0000-0000-0000E8120000}"/>
    <cellStyle name="Output 2 3 2 3" xfId="6002" xr:uid="{00000000-0005-0000-0000-0000E9120000}"/>
    <cellStyle name="Output 2 3 20" xfId="1749" xr:uid="{00000000-0005-0000-0000-0000EA120000}"/>
    <cellStyle name="Output 2 3 20 2" xfId="4105" xr:uid="{00000000-0005-0000-0000-0000EB120000}"/>
    <cellStyle name="Output 2 3 20 3" xfId="6003" xr:uid="{00000000-0005-0000-0000-0000EC120000}"/>
    <cellStyle name="Output 2 3 21" xfId="1750" xr:uid="{00000000-0005-0000-0000-0000ED120000}"/>
    <cellStyle name="Output 2 3 21 2" xfId="4106" xr:uid="{00000000-0005-0000-0000-0000EE120000}"/>
    <cellStyle name="Output 2 3 21 3" xfId="6004" xr:uid="{00000000-0005-0000-0000-0000EF120000}"/>
    <cellStyle name="Output 2 3 22" xfId="1751" xr:uid="{00000000-0005-0000-0000-0000F0120000}"/>
    <cellStyle name="Output 2 3 22 2" xfId="4107" xr:uid="{00000000-0005-0000-0000-0000F1120000}"/>
    <cellStyle name="Output 2 3 22 3" xfId="6005" xr:uid="{00000000-0005-0000-0000-0000F2120000}"/>
    <cellStyle name="Output 2 3 23" xfId="1752" xr:uid="{00000000-0005-0000-0000-0000F3120000}"/>
    <cellStyle name="Output 2 3 23 2" xfId="4108" xr:uid="{00000000-0005-0000-0000-0000F4120000}"/>
    <cellStyle name="Output 2 3 23 3" xfId="6006" xr:uid="{00000000-0005-0000-0000-0000F5120000}"/>
    <cellStyle name="Output 2 3 24" xfId="4093" xr:uid="{00000000-0005-0000-0000-0000F6120000}"/>
    <cellStyle name="Output 2 3 25" xfId="5991" xr:uid="{00000000-0005-0000-0000-0000F7120000}"/>
    <cellStyle name="Output 2 3 3" xfId="1753" xr:uid="{00000000-0005-0000-0000-0000F8120000}"/>
    <cellStyle name="Output 2 3 3 2" xfId="4109" xr:uid="{00000000-0005-0000-0000-0000F9120000}"/>
    <cellStyle name="Output 2 3 3 3" xfId="6007" xr:uid="{00000000-0005-0000-0000-0000FA120000}"/>
    <cellStyle name="Output 2 3 4" xfId="1754" xr:uid="{00000000-0005-0000-0000-0000FB120000}"/>
    <cellStyle name="Output 2 3 4 2" xfId="4110" xr:uid="{00000000-0005-0000-0000-0000FC120000}"/>
    <cellStyle name="Output 2 3 4 3" xfId="6008" xr:uid="{00000000-0005-0000-0000-0000FD120000}"/>
    <cellStyle name="Output 2 3 5" xfId="1755" xr:uid="{00000000-0005-0000-0000-0000FE120000}"/>
    <cellStyle name="Output 2 3 5 2" xfId="4111" xr:uid="{00000000-0005-0000-0000-0000FF120000}"/>
    <cellStyle name="Output 2 3 5 3" xfId="6009" xr:uid="{00000000-0005-0000-0000-000000130000}"/>
    <cellStyle name="Output 2 3 6" xfId="1756" xr:uid="{00000000-0005-0000-0000-000001130000}"/>
    <cellStyle name="Output 2 3 6 2" xfId="4112" xr:uid="{00000000-0005-0000-0000-000002130000}"/>
    <cellStyle name="Output 2 3 6 3" xfId="6010" xr:uid="{00000000-0005-0000-0000-000003130000}"/>
    <cellStyle name="Output 2 3 7" xfId="1757" xr:uid="{00000000-0005-0000-0000-000004130000}"/>
    <cellStyle name="Output 2 3 7 2" xfId="4113" xr:uid="{00000000-0005-0000-0000-000005130000}"/>
    <cellStyle name="Output 2 3 7 3" xfId="6011" xr:uid="{00000000-0005-0000-0000-000006130000}"/>
    <cellStyle name="Output 2 3 8" xfId="1758" xr:uid="{00000000-0005-0000-0000-000007130000}"/>
    <cellStyle name="Output 2 3 8 2" xfId="4114" xr:uid="{00000000-0005-0000-0000-000008130000}"/>
    <cellStyle name="Output 2 3 8 3" xfId="6012" xr:uid="{00000000-0005-0000-0000-000009130000}"/>
    <cellStyle name="Output 2 3 9" xfId="1759" xr:uid="{00000000-0005-0000-0000-00000A130000}"/>
    <cellStyle name="Output 2 3 9 2" xfId="4115" xr:uid="{00000000-0005-0000-0000-00000B130000}"/>
    <cellStyle name="Output 2 3 9 3" xfId="6013" xr:uid="{00000000-0005-0000-0000-00000C130000}"/>
    <cellStyle name="Output 2 30" xfId="1760" xr:uid="{00000000-0005-0000-0000-00000D130000}"/>
    <cellStyle name="Output 2 30 2" xfId="4116" xr:uid="{00000000-0005-0000-0000-00000E130000}"/>
    <cellStyle name="Output 2 30 3" xfId="6014" xr:uid="{00000000-0005-0000-0000-00000F130000}"/>
    <cellStyle name="Output 2 31" xfId="1761" xr:uid="{00000000-0005-0000-0000-000010130000}"/>
    <cellStyle name="Output 2 31 2" xfId="4117" xr:uid="{00000000-0005-0000-0000-000011130000}"/>
    <cellStyle name="Output 2 31 3" xfId="6015" xr:uid="{00000000-0005-0000-0000-000012130000}"/>
    <cellStyle name="Output 2 32" xfId="1762" xr:uid="{00000000-0005-0000-0000-000013130000}"/>
    <cellStyle name="Output 2 32 2" xfId="4118" xr:uid="{00000000-0005-0000-0000-000014130000}"/>
    <cellStyle name="Output 2 32 3" xfId="6016" xr:uid="{00000000-0005-0000-0000-000015130000}"/>
    <cellStyle name="Output 2 33" xfId="1763" xr:uid="{00000000-0005-0000-0000-000016130000}"/>
    <cellStyle name="Output 2 33 2" xfId="4119" xr:uid="{00000000-0005-0000-0000-000017130000}"/>
    <cellStyle name="Output 2 33 3" xfId="6017" xr:uid="{00000000-0005-0000-0000-000018130000}"/>
    <cellStyle name="Output 2 34" xfId="1764" xr:uid="{00000000-0005-0000-0000-000019130000}"/>
    <cellStyle name="Output 2 34 2" xfId="4120" xr:uid="{00000000-0005-0000-0000-00001A130000}"/>
    <cellStyle name="Output 2 34 3" xfId="6018" xr:uid="{00000000-0005-0000-0000-00001B130000}"/>
    <cellStyle name="Output 2 35" xfId="1765" xr:uid="{00000000-0005-0000-0000-00001C130000}"/>
    <cellStyle name="Output 2 35 2" xfId="4121" xr:uid="{00000000-0005-0000-0000-00001D130000}"/>
    <cellStyle name="Output 2 35 3" xfId="6019" xr:uid="{00000000-0005-0000-0000-00001E130000}"/>
    <cellStyle name="Output 2 36" xfId="1766" xr:uid="{00000000-0005-0000-0000-00001F130000}"/>
    <cellStyle name="Output 2 36 2" xfId="4122" xr:uid="{00000000-0005-0000-0000-000020130000}"/>
    <cellStyle name="Output 2 36 3" xfId="6020" xr:uid="{00000000-0005-0000-0000-000021130000}"/>
    <cellStyle name="Output 2 37" xfId="1767" xr:uid="{00000000-0005-0000-0000-000022130000}"/>
    <cellStyle name="Output 2 37 2" xfId="4123" xr:uid="{00000000-0005-0000-0000-000023130000}"/>
    <cellStyle name="Output 2 37 3" xfId="6021" xr:uid="{00000000-0005-0000-0000-000024130000}"/>
    <cellStyle name="Output 2 38" xfId="3917" xr:uid="{00000000-0005-0000-0000-000025130000}"/>
    <cellStyle name="Output 2 39" xfId="5815" xr:uid="{00000000-0005-0000-0000-000026130000}"/>
    <cellStyle name="Output 2 4" xfId="1768" xr:uid="{00000000-0005-0000-0000-000027130000}"/>
    <cellStyle name="Output 2 4 10" xfId="1769" xr:uid="{00000000-0005-0000-0000-000028130000}"/>
    <cellStyle name="Output 2 4 10 2" xfId="4125" xr:uid="{00000000-0005-0000-0000-000029130000}"/>
    <cellStyle name="Output 2 4 10 3" xfId="6023" xr:uid="{00000000-0005-0000-0000-00002A130000}"/>
    <cellStyle name="Output 2 4 11" xfId="1770" xr:uid="{00000000-0005-0000-0000-00002B130000}"/>
    <cellStyle name="Output 2 4 11 2" xfId="4126" xr:uid="{00000000-0005-0000-0000-00002C130000}"/>
    <cellStyle name="Output 2 4 11 3" xfId="6024" xr:uid="{00000000-0005-0000-0000-00002D130000}"/>
    <cellStyle name="Output 2 4 12" xfId="1771" xr:uid="{00000000-0005-0000-0000-00002E130000}"/>
    <cellStyle name="Output 2 4 12 2" xfId="4127" xr:uid="{00000000-0005-0000-0000-00002F130000}"/>
    <cellStyle name="Output 2 4 12 3" xfId="6025" xr:uid="{00000000-0005-0000-0000-000030130000}"/>
    <cellStyle name="Output 2 4 13" xfId="1772" xr:uid="{00000000-0005-0000-0000-000031130000}"/>
    <cellStyle name="Output 2 4 13 2" xfId="4128" xr:uid="{00000000-0005-0000-0000-000032130000}"/>
    <cellStyle name="Output 2 4 13 3" xfId="6026" xr:uid="{00000000-0005-0000-0000-000033130000}"/>
    <cellStyle name="Output 2 4 14" xfId="1773" xr:uid="{00000000-0005-0000-0000-000034130000}"/>
    <cellStyle name="Output 2 4 14 2" xfId="4129" xr:uid="{00000000-0005-0000-0000-000035130000}"/>
    <cellStyle name="Output 2 4 14 3" xfId="6027" xr:uid="{00000000-0005-0000-0000-000036130000}"/>
    <cellStyle name="Output 2 4 15" xfId="1774" xr:uid="{00000000-0005-0000-0000-000037130000}"/>
    <cellStyle name="Output 2 4 15 2" xfId="4130" xr:uid="{00000000-0005-0000-0000-000038130000}"/>
    <cellStyle name="Output 2 4 15 3" xfId="6028" xr:uid="{00000000-0005-0000-0000-000039130000}"/>
    <cellStyle name="Output 2 4 16" xfId="1775" xr:uid="{00000000-0005-0000-0000-00003A130000}"/>
    <cellStyle name="Output 2 4 16 2" xfId="4131" xr:uid="{00000000-0005-0000-0000-00003B130000}"/>
    <cellStyle name="Output 2 4 16 3" xfId="6029" xr:uid="{00000000-0005-0000-0000-00003C130000}"/>
    <cellStyle name="Output 2 4 17" xfId="1776" xr:uid="{00000000-0005-0000-0000-00003D130000}"/>
    <cellStyle name="Output 2 4 17 2" xfId="4132" xr:uid="{00000000-0005-0000-0000-00003E130000}"/>
    <cellStyle name="Output 2 4 17 3" xfId="6030" xr:uid="{00000000-0005-0000-0000-00003F130000}"/>
    <cellStyle name="Output 2 4 18" xfId="1777" xr:uid="{00000000-0005-0000-0000-000040130000}"/>
    <cellStyle name="Output 2 4 18 2" xfId="4133" xr:uid="{00000000-0005-0000-0000-000041130000}"/>
    <cellStyle name="Output 2 4 18 3" xfId="6031" xr:uid="{00000000-0005-0000-0000-000042130000}"/>
    <cellStyle name="Output 2 4 19" xfId="1778" xr:uid="{00000000-0005-0000-0000-000043130000}"/>
    <cellStyle name="Output 2 4 19 2" xfId="4134" xr:uid="{00000000-0005-0000-0000-000044130000}"/>
    <cellStyle name="Output 2 4 19 3" xfId="6032" xr:uid="{00000000-0005-0000-0000-000045130000}"/>
    <cellStyle name="Output 2 4 2" xfId="1779" xr:uid="{00000000-0005-0000-0000-000046130000}"/>
    <cellStyle name="Output 2 4 2 2" xfId="4135" xr:uid="{00000000-0005-0000-0000-000047130000}"/>
    <cellStyle name="Output 2 4 2 3" xfId="6033" xr:uid="{00000000-0005-0000-0000-000048130000}"/>
    <cellStyle name="Output 2 4 20" xfId="1780" xr:uid="{00000000-0005-0000-0000-000049130000}"/>
    <cellStyle name="Output 2 4 20 2" xfId="4136" xr:uid="{00000000-0005-0000-0000-00004A130000}"/>
    <cellStyle name="Output 2 4 20 3" xfId="6034" xr:uid="{00000000-0005-0000-0000-00004B130000}"/>
    <cellStyle name="Output 2 4 21" xfId="1781" xr:uid="{00000000-0005-0000-0000-00004C130000}"/>
    <cellStyle name="Output 2 4 21 2" xfId="4137" xr:uid="{00000000-0005-0000-0000-00004D130000}"/>
    <cellStyle name="Output 2 4 21 3" xfId="6035" xr:uid="{00000000-0005-0000-0000-00004E130000}"/>
    <cellStyle name="Output 2 4 22" xfId="1782" xr:uid="{00000000-0005-0000-0000-00004F130000}"/>
    <cellStyle name="Output 2 4 22 2" xfId="4138" xr:uid="{00000000-0005-0000-0000-000050130000}"/>
    <cellStyle name="Output 2 4 22 3" xfId="6036" xr:uid="{00000000-0005-0000-0000-000051130000}"/>
    <cellStyle name="Output 2 4 23" xfId="1783" xr:uid="{00000000-0005-0000-0000-000052130000}"/>
    <cellStyle name="Output 2 4 23 2" xfId="4139" xr:uid="{00000000-0005-0000-0000-000053130000}"/>
    <cellStyle name="Output 2 4 23 3" xfId="6037" xr:uid="{00000000-0005-0000-0000-000054130000}"/>
    <cellStyle name="Output 2 4 24" xfId="4124" xr:uid="{00000000-0005-0000-0000-000055130000}"/>
    <cellStyle name="Output 2 4 25" xfId="6022" xr:uid="{00000000-0005-0000-0000-000056130000}"/>
    <cellStyle name="Output 2 4 3" xfId="1784" xr:uid="{00000000-0005-0000-0000-000057130000}"/>
    <cellStyle name="Output 2 4 3 2" xfId="4140" xr:uid="{00000000-0005-0000-0000-000058130000}"/>
    <cellStyle name="Output 2 4 3 3" xfId="6038" xr:uid="{00000000-0005-0000-0000-000059130000}"/>
    <cellStyle name="Output 2 4 4" xfId="1785" xr:uid="{00000000-0005-0000-0000-00005A130000}"/>
    <cellStyle name="Output 2 4 4 2" xfId="4141" xr:uid="{00000000-0005-0000-0000-00005B130000}"/>
    <cellStyle name="Output 2 4 4 3" xfId="6039" xr:uid="{00000000-0005-0000-0000-00005C130000}"/>
    <cellStyle name="Output 2 4 5" xfId="1786" xr:uid="{00000000-0005-0000-0000-00005D130000}"/>
    <cellStyle name="Output 2 4 5 2" xfId="4142" xr:uid="{00000000-0005-0000-0000-00005E130000}"/>
    <cellStyle name="Output 2 4 5 3" xfId="6040" xr:uid="{00000000-0005-0000-0000-00005F130000}"/>
    <cellStyle name="Output 2 4 6" xfId="1787" xr:uid="{00000000-0005-0000-0000-000060130000}"/>
    <cellStyle name="Output 2 4 6 2" xfId="4143" xr:uid="{00000000-0005-0000-0000-000061130000}"/>
    <cellStyle name="Output 2 4 6 3" xfId="6041" xr:uid="{00000000-0005-0000-0000-000062130000}"/>
    <cellStyle name="Output 2 4 7" xfId="1788" xr:uid="{00000000-0005-0000-0000-000063130000}"/>
    <cellStyle name="Output 2 4 7 2" xfId="4144" xr:uid="{00000000-0005-0000-0000-000064130000}"/>
    <cellStyle name="Output 2 4 7 3" xfId="6042" xr:uid="{00000000-0005-0000-0000-000065130000}"/>
    <cellStyle name="Output 2 4 8" xfId="1789" xr:uid="{00000000-0005-0000-0000-000066130000}"/>
    <cellStyle name="Output 2 4 8 2" xfId="4145" xr:uid="{00000000-0005-0000-0000-000067130000}"/>
    <cellStyle name="Output 2 4 8 3" xfId="6043" xr:uid="{00000000-0005-0000-0000-000068130000}"/>
    <cellStyle name="Output 2 4 9" xfId="1790" xr:uid="{00000000-0005-0000-0000-000069130000}"/>
    <cellStyle name="Output 2 4 9 2" xfId="4146" xr:uid="{00000000-0005-0000-0000-00006A130000}"/>
    <cellStyle name="Output 2 4 9 3" xfId="6044" xr:uid="{00000000-0005-0000-0000-00006B130000}"/>
    <cellStyle name="Output 2 5" xfId="1791" xr:uid="{00000000-0005-0000-0000-00006C130000}"/>
    <cellStyle name="Output 2 5 10" xfId="1792" xr:uid="{00000000-0005-0000-0000-00006D130000}"/>
    <cellStyle name="Output 2 5 10 2" xfId="4148" xr:uid="{00000000-0005-0000-0000-00006E130000}"/>
    <cellStyle name="Output 2 5 10 3" xfId="6046" xr:uid="{00000000-0005-0000-0000-00006F130000}"/>
    <cellStyle name="Output 2 5 11" xfId="1793" xr:uid="{00000000-0005-0000-0000-000070130000}"/>
    <cellStyle name="Output 2 5 11 2" xfId="4149" xr:uid="{00000000-0005-0000-0000-000071130000}"/>
    <cellStyle name="Output 2 5 11 3" xfId="6047" xr:uid="{00000000-0005-0000-0000-000072130000}"/>
    <cellStyle name="Output 2 5 12" xfId="1794" xr:uid="{00000000-0005-0000-0000-000073130000}"/>
    <cellStyle name="Output 2 5 12 2" xfId="4150" xr:uid="{00000000-0005-0000-0000-000074130000}"/>
    <cellStyle name="Output 2 5 12 3" xfId="6048" xr:uid="{00000000-0005-0000-0000-000075130000}"/>
    <cellStyle name="Output 2 5 13" xfId="1795" xr:uid="{00000000-0005-0000-0000-000076130000}"/>
    <cellStyle name="Output 2 5 13 2" xfId="4151" xr:uid="{00000000-0005-0000-0000-000077130000}"/>
    <cellStyle name="Output 2 5 13 3" xfId="6049" xr:uid="{00000000-0005-0000-0000-000078130000}"/>
    <cellStyle name="Output 2 5 14" xfId="1796" xr:uid="{00000000-0005-0000-0000-000079130000}"/>
    <cellStyle name="Output 2 5 14 2" xfId="4152" xr:uid="{00000000-0005-0000-0000-00007A130000}"/>
    <cellStyle name="Output 2 5 14 3" xfId="6050" xr:uid="{00000000-0005-0000-0000-00007B130000}"/>
    <cellStyle name="Output 2 5 15" xfId="1797" xr:uid="{00000000-0005-0000-0000-00007C130000}"/>
    <cellStyle name="Output 2 5 15 2" xfId="4153" xr:uid="{00000000-0005-0000-0000-00007D130000}"/>
    <cellStyle name="Output 2 5 15 3" xfId="6051" xr:uid="{00000000-0005-0000-0000-00007E130000}"/>
    <cellStyle name="Output 2 5 16" xfId="1798" xr:uid="{00000000-0005-0000-0000-00007F130000}"/>
    <cellStyle name="Output 2 5 16 2" xfId="4154" xr:uid="{00000000-0005-0000-0000-000080130000}"/>
    <cellStyle name="Output 2 5 16 3" xfId="6052" xr:uid="{00000000-0005-0000-0000-000081130000}"/>
    <cellStyle name="Output 2 5 17" xfId="1799" xr:uid="{00000000-0005-0000-0000-000082130000}"/>
    <cellStyle name="Output 2 5 17 2" xfId="4155" xr:uid="{00000000-0005-0000-0000-000083130000}"/>
    <cellStyle name="Output 2 5 17 3" xfId="6053" xr:uid="{00000000-0005-0000-0000-000084130000}"/>
    <cellStyle name="Output 2 5 18" xfId="1800" xr:uid="{00000000-0005-0000-0000-000085130000}"/>
    <cellStyle name="Output 2 5 18 2" xfId="4156" xr:uid="{00000000-0005-0000-0000-000086130000}"/>
    <cellStyle name="Output 2 5 18 3" xfId="6054" xr:uid="{00000000-0005-0000-0000-000087130000}"/>
    <cellStyle name="Output 2 5 19" xfId="1801" xr:uid="{00000000-0005-0000-0000-000088130000}"/>
    <cellStyle name="Output 2 5 19 2" xfId="4157" xr:uid="{00000000-0005-0000-0000-000089130000}"/>
    <cellStyle name="Output 2 5 19 3" xfId="6055" xr:uid="{00000000-0005-0000-0000-00008A130000}"/>
    <cellStyle name="Output 2 5 2" xfId="1802" xr:uid="{00000000-0005-0000-0000-00008B130000}"/>
    <cellStyle name="Output 2 5 2 2" xfId="4158" xr:uid="{00000000-0005-0000-0000-00008C130000}"/>
    <cellStyle name="Output 2 5 2 3" xfId="6056" xr:uid="{00000000-0005-0000-0000-00008D130000}"/>
    <cellStyle name="Output 2 5 20" xfId="1803" xr:uid="{00000000-0005-0000-0000-00008E130000}"/>
    <cellStyle name="Output 2 5 20 2" xfId="4159" xr:uid="{00000000-0005-0000-0000-00008F130000}"/>
    <cellStyle name="Output 2 5 20 3" xfId="6057" xr:uid="{00000000-0005-0000-0000-000090130000}"/>
    <cellStyle name="Output 2 5 21" xfId="1804" xr:uid="{00000000-0005-0000-0000-000091130000}"/>
    <cellStyle name="Output 2 5 21 2" xfId="4160" xr:uid="{00000000-0005-0000-0000-000092130000}"/>
    <cellStyle name="Output 2 5 21 3" xfId="6058" xr:uid="{00000000-0005-0000-0000-000093130000}"/>
    <cellStyle name="Output 2 5 22" xfId="1805" xr:uid="{00000000-0005-0000-0000-000094130000}"/>
    <cellStyle name="Output 2 5 22 2" xfId="4161" xr:uid="{00000000-0005-0000-0000-000095130000}"/>
    <cellStyle name="Output 2 5 22 3" xfId="6059" xr:uid="{00000000-0005-0000-0000-000096130000}"/>
    <cellStyle name="Output 2 5 23" xfId="1806" xr:uid="{00000000-0005-0000-0000-000097130000}"/>
    <cellStyle name="Output 2 5 23 2" xfId="4162" xr:uid="{00000000-0005-0000-0000-000098130000}"/>
    <cellStyle name="Output 2 5 23 3" xfId="6060" xr:uid="{00000000-0005-0000-0000-000099130000}"/>
    <cellStyle name="Output 2 5 24" xfId="4147" xr:uid="{00000000-0005-0000-0000-00009A130000}"/>
    <cellStyle name="Output 2 5 25" xfId="6045" xr:uid="{00000000-0005-0000-0000-00009B130000}"/>
    <cellStyle name="Output 2 5 3" xfId="1807" xr:uid="{00000000-0005-0000-0000-00009C130000}"/>
    <cellStyle name="Output 2 5 3 2" xfId="4163" xr:uid="{00000000-0005-0000-0000-00009D130000}"/>
    <cellStyle name="Output 2 5 3 3" xfId="6061" xr:uid="{00000000-0005-0000-0000-00009E130000}"/>
    <cellStyle name="Output 2 5 4" xfId="1808" xr:uid="{00000000-0005-0000-0000-00009F130000}"/>
    <cellStyle name="Output 2 5 4 2" xfId="4164" xr:uid="{00000000-0005-0000-0000-0000A0130000}"/>
    <cellStyle name="Output 2 5 4 3" xfId="6062" xr:uid="{00000000-0005-0000-0000-0000A1130000}"/>
    <cellStyle name="Output 2 5 5" xfId="1809" xr:uid="{00000000-0005-0000-0000-0000A2130000}"/>
    <cellStyle name="Output 2 5 5 2" xfId="4165" xr:uid="{00000000-0005-0000-0000-0000A3130000}"/>
    <cellStyle name="Output 2 5 5 3" xfId="6063" xr:uid="{00000000-0005-0000-0000-0000A4130000}"/>
    <cellStyle name="Output 2 5 6" xfId="1810" xr:uid="{00000000-0005-0000-0000-0000A5130000}"/>
    <cellStyle name="Output 2 5 6 2" xfId="4166" xr:uid="{00000000-0005-0000-0000-0000A6130000}"/>
    <cellStyle name="Output 2 5 6 3" xfId="6064" xr:uid="{00000000-0005-0000-0000-0000A7130000}"/>
    <cellStyle name="Output 2 5 7" xfId="1811" xr:uid="{00000000-0005-0000-0000-0000A8130000}"/>
    <cellStyle name="Output 2 5 7 2" xfId="4167" xr:uid="{00000000-0005-0000-0000-0000A9130000}"/>
    <cellStyle name="Output 2 5 7 3" xfId="6065" xr:uid="{00000000-0005-0000-0000-0000AA130000}"/>
    <cellStyle name="Output 2 5 8" xfId="1812" xr:uid="{00000000-0005-0000-0000-0000AB130000}"/>
    <cellStyle name="Output 2 5 8 2" xfId="4168" xr:uid="{00000000-0005-0000-0000-0000AC130000}"/>
    <cellStyle name="Output 2 5 8 3" xfId="6066" xr:uid="{00000000-0005-0000-0000-0000AD130000}"/>
    <cellStyle name="Output 2 5 9" xfId="1813" xr:uid="{00000000-0005-0000-0000-0000AE130000}"/>
    <cellStyle name="Output 2 5 9 2" xfId="4169" xr:uid="{00000000-0005-0000-0000-0000AF130000}"/>
    <cellStyle name="Output 2 5 9 3" xfId="6067" xr:uid="{00000000-0005-0000-0000-0000B0130000}"/>
    <cellStyle name="Output 2 6" xfId="1814" xr:uid="{00000000-0005-0000-0000-0000B1130000}"/>
    <cellStyle name="Output 2 6 10" xfId="1815" xr:uid="{00000000-0005-0000-0000-0000B2130000}"/>
    <cellStyle name="Output 2 6 10 2" xfId="4171" xr:uid="{00000000-0005-0000-0000-0000B3130000}"/>
    <cellStyle name="Output 2 6 10 3" xfId="6069" xr:uid="{00000000-0005-0000-0000-0000B4130000}"/>
    <cellStyle name="Output 2 6 11" xfId="1816" xr:uid="{00000000-0005-0000-0000-0000B5130000}"/>
    <cellStyle name="Output 2 6 11 2" xfId="4172" xr:uid="{00000000-0005-0000-0000-0000B6130000}"/>
    <cellStyle name="Output 2 6 11 3" xfId="6070" xr:uid="{00000000-0005-0000-0000-0000B7130000}"/>
    <cellStyle name="Output 2 6 12" xfId="1817" xr:uid="{00000000-0005-0000-0000-0000B8130000}"/>
    <cellStyle name="Output 2 6 12 2" xfId="4173" xr:uid="{00000000-0005-0000-0000-0000B9130000}"/>
    <cellStyle name="Output 2 6 12 3" xfId="6071" xr:uid="{00000000-0005-0000-0000-0000BA130000}"/>
    <cellStyle name="Output 2 6 13" xfId="1818" xr:uid="{00000000-0005-0000-0000-0000BB130000}"/>
    <cellStyle name="Output 2 6 13 2" xfId="4174" xr:uid="{00000000-0005-0000-0000-0000BC130000}"/>
    <cellStyle name="Output 2 6 13 3" xfId="6072" xr:uid="{00000000-0005-0000-0000-0000BD130000}"/>
    <cellStyle name="Output 2 6 14" xfId="1819" xr:uid="{00000000-0005-0000-0000-0000BE130000}"/>
    <cellStyle name="Output 2 6 14 2" xfId="4175" xr:uid="{00000000-0005-0000-0000-0000BF130000}"/>
    <cellStyle name="Output 2 6 14 3" xfId="6073" xr:uid="{00000000-0005-0000-0000-0000C0130000}"/>
    <cellStyle name="Output 2 6 15" xfId="1820" xr:uid="{00000000-0005-0000-0000-0000C1130000}"/>
    <cellStyle name="Output 2 6 15 2" xfId="4176" xr:uid="{00000000-0005-0000-0000-0000C2130000}"/>
    <cellStyle name="Output 2 6 15 3" xfId="6074" xr:uid="{00000000-0005-0000-0000-0000C3130000}"/>
    <cellStyle name="Output 2 6 16" xfId="1821" xr:uid="{00000000-0005-0000-0000-0000C4130000}"/>
    <cellStyle name="Output 2 6 16 2" xfId="4177" xr:uid="{00000000-0005-0000-0000-0000C5130000}"/>
    <cellStyle name="Output 2 6 16 3" xfId="6075" xr:uid="{00000000-0005-0000-0000-0000C6130000}"/>
    <cellStyle name="Output 2 6 17" xfId="1822" xr:uid="{00000000-0005-0000-0000-0000C7130000}"/>
    <cellStyle name="Output 2 6 17 2" xfId="4178" xr:uid="{00000000-0005-0000-0000-0000C8130000}"/>
    <cellStyle name="Output 2 6 17 3" xfId="6076" xr:uid="{00000000-0005-0000-0000-0000C9130000}"/>
    <cellStyle name="Output 2 6 18" xfId="1823" xr:uid="{00000000-0005-0000-0000-0000CA130000}"/>
    <cellStyle name="Output 2 6 18 2" xfId="4179" xr:uid="{00000000-0005-0000-0000-0000CB130000}"/>
    <cellStyle name="Output 2 6 18 3" xfId="6077" xr:uid="{00000000-0005-0000-0000-0000CC130000}"/>
    <cellStyle name="Output 2 6 19" xfId="1824" xr:uid="{00000000-0005-0000-0000-0000CD130000}"/>
    <cellStyle name="Output 2 6 19 2" xfId="4180" xr:uid="{00000000-0005-0000-0000-0000CE130000}"/>
    <cellStyle name="Output 2 6 19 3" xfId="6078" xr:uid="{00000000-0005-0000-0000-0000CF130000}"/>
    <cellStyle name="Output 2 6 2" xfId="1825" xr:uid="{00000000-0005-0000-0000-0000D0130000}"/>
    <cellStyle name="Output 2 6 2 2" xfId="4181" xr:uid="{00000000-0005-0000-0000-0000D1130000}"/>
    <cellStyle name="Output 2 6 2 3" xfId="6079" xr:uid="{00000000-0005-0000-0000-0000D2130000}"/>
    <cellStyle name="Output 2 6 20" xfId="1826" xr:uid="{00000000-0005-0000-0000-0000D3130000}"/>
    <cellStyle name="Output 2 6 20 2" xfId="4182" xr:uid="{00000000-0005-0000-0000-0000D4130000}"/>
    <cellStyle name="Output 2 6 20 3" xfId="6080" xr:uid="{00000000-0005-0000-0000-0000D5130000}"/>
    <cellStyle name="Output 2 6 21" xfId="1827" xr:uid="{00000000-0005-0000-0000-0000D6130000}"/>
    <cellStyle name="Output 2 6 21 2" xfId="4183" xr:uid="{00000000-0005-0000-0000-0000D7130000}"/>
    <cellStyle name="Output 2 6 21 3" xfId="6081" xr:uid="{00000000-0005-0000-0000-0000D8130000}"/>
    <cellStyle name="Output 2 6 22" xfId="1828" xr:uid="{00000000-0005-0000-0000-0000D9130000}"/>
    <cellStyle name="Output 2 6 22 2" xfId="4184" xr:uid="{00000000-0005-0000-0000-0000DA130000}"/>
    <cellStyle name="Output 2 6 22 3" xfId="6082" xr:uid="{00000000-0005-0000-0000-0000DB130000}"/>
    <cellStyle name="Output 2 6 23" xfId="1829" xr:uid="{00000000-0005-0000-0000-0000DC130000}"/>
    <cellStyle name="Output 2 6 23 2" xfId="4185" xr:uid="{00000000-0005-0000-0000-0000DD130000}"/>
    <cellStyle name="Output 2 6 23 3" xfId="6083" xr:uid="{00000000-0005-0000-0000-0000DE130000}"/>
    <cellStyle name="Output 2 6 24" xfId="4170" xr:uid="{00000000-0005-0000-0000-0000DF130000}"/>
    <cellStyle name="Output 2 6 25" xfId="6068" xr:uid="{00000000-0005-0000-0000-0000E0130000}"/>
    <cellStyle name="Output 2 6 3" xfId="1830" xr:uid="{00000000-0005-0000-0000-0000E1130000}"/>
    <cellStyle name="Output 2 6 3 2" xfId="4186" xr:uid="{00000000-0005-0000-0000-0000E2130000}"/>
    <cellStyle name="Output 2 6 3 3" xfId="6084" xr:uid="{00000000-0005-0000-0000-0000E3130000}"/>
    <cellStyle name="Output 2 6 4" xfId="1831" xr:uid="{00000000-0005-0000-0000-0000E4130000}"/>
    <cellStyle name="Output 2 6 4 2" xfId="4187" xr:uid="{00000000-0005-0000-0000-0000E5130000}"/>
    <cellStyle name="Output 2 6 4 3" xfId="6085" xr:uid="{00000000-0005-0000-0000-0000E6130000}"/>
    <cellStyle name="Output 2 6 5" xfId="1832" xr:uid="{00000000-0005-0000-0000-0000E7130000}"/>
    <cellStyle name="Output 2 6 5 2" xfId="4188" xr:uid="{00000000-0005-0000-0000-0000E8130000}"/>
    <cellStyle name="Output 2 6 5 3" xfId="6086" xr:uid="{00000000-0005-0000-0000-0000E9130000}"/>
    <cellStyle name="Output 2 6 6" xfId="1833" xr:uid="{00000000-0005-0000-0000-0000EA130000}"/>
    <cellStyle name="Output 2 6 6 2" xfId="4189" xr:uid="{00000000-0005-0000-0000-0000EB130000}"/>
    <cellStyle name="Output 2 6 6 3" xfId="6087" xr:uid="{00000000-0005-0000-0000-0000EC130000}"/>
    <cellStyle name="Output 2 6 7" xfId="1834" xr:uid="{00000000-0005-0000-0000-0000ED130000}"/>
    <cellStyle name="Output 2 6 7 2" xfId="4190" xr:uid="{00000000-0005-0000-0000-0000EE130000}"/>
    <cellStyle name="Output 2 6 7 3" xfId="6088" xr:uid="{00000000-0005-0000-0000-0000EF130000}"/>
    <cellStyle name="Output 2 6 8" xfId="1835" xr:uid="{00000000-0005-0000-0000-0000F0130000}"/>
    <cellStyle name="Output 2 6 8 2" xfId="4191" xr:uid="{00000000-0005-0000-0000-0000F1130000}"/>
    <cellStyle name="Output 2 6 8 3" xfId="6089" xr:uid="{00000000-0005-0000-0000-0000F2130000}"/>
    <cellStyle name="Output 2 6 9" xfId="1836" xr:uid="{00000000-0005-0000-0000-0000F3130000}"/>
    <cellStyle name="Output 2 6 9 2" xfId="4192" xr:uid="{00000000-0005-0000-0000-0000F4130000}"/>
    <cellStyle name="Output 2 6 9 3" xfId="6090" xr:uid="{00000000-0005-0000-0000-0000F5130000}"/>
    <cellStyle name="Output 2 7" xfId="1837" xr:uid="{00000000-0005-0000-0000-0000F6130000}"/>
    <cellStyle name="Output 2 7 10" xfId="1838" xr:uid="{00000000-0005-0000-0000-0000F7130000}"/>
    <cellStyle name="Output 2 7 10 2" xfId="4194" xr:uid="{00000000-0005-0000-0000-0000F8130000}"/>
    <cellStyle name="Output 2 7 10 3" xfId="6092" xr:uid="{00000000-0005-0000-0000-0000F9130000}"/>
    <cellStyle name="Output 2 7 11" xfId="1839" xr:uid="{00000000-0005-0000-0000-0000FA130000}"/>
    <cellStyle name="Output 2 7 11 2" xfId="4195" xr:uid="{00000000-0005-0000-0000-0000FB130000}"/>
    <cellStyle name="Output 2 7 11 3" xfId="6093" xr:uid="{00000000-0005-0000-0000-0000FC130000}"/>
    <cellStyle name="Output 2 7 12" xfId="1840" xr:uid="{00000000-0005-0000-0000-0000FD130000}"/>
    <cellStyle name="Output 2 7 12 2" xfId="4196" xr:uid="{00000000-0005-0000-0000-0000FE130000}"/>
    <cellStyle name="Output 2 7 12 3" xfId="6094" xr:uid="{00000000-0005-0000-0000-0000FF130000}"/>
    <cellStyle name="Output 2 7 13" xfId="1841" xr:uid="{00000000-0005-0000-0000-000000140000}"/>
    <cellStyle name="Output 2 7 13 2" xfId="4197" xr:uid="{00000000-0005-0000-0000-000001140000}"/>
    <cellStyle name="Output 2 7 13 3" xfId="6095" xr:uid="{00000000-0005-0000-0000-000002140000}"/>
    <cellStyle name="Output 2 7 14" xfId="1842" xr:uid="{00000000-0005-0000-0000-000003140000}"/>
    <cellStyle name="Output 2 7 14 2" xfId="4198" xr:uid="{00000000-0005-0000-0000-000004140000}"/>
    <cellStyle name="Output 2 7 14 3" xfId="6096" xr:uid="{00000000-0005-0000-0000-000005140000}"/>
    <cellStyle name="Output 2 7 15" xfId="1843" xr:uid="{00000000-0005-0000-0000-000006140000}"/>
    <cellStyle name="Output 2 7 15 2" xfId="4199" xr:uid="{00000000-0005-0000-0000-000007140000}"/>
    <cellStyle name="Output 2 7 15 3" xfId="6097" xr:uid="{00000000-0005-0000-0000-000008140000}"/>
    <cellStyle name="Output 2 7 16" xfId="1844" xr:uid="{00000000-0005-0000-0000-000009140000}"/>
    <cellStyle name="Output 2 7 16 2" xfId="4200" xr:uid="{00000000-0005-0000-0000-00000A140000}"/>
    <cellStyle name="Output 2 7 16 3" xfId="6098" xr:uid="{00000000-0005-0000-0000-00000B140000}"/>
    <cellStyle name="Output 2 7 17" xfId="1845" xr:uid="{00000000-0005-0000-0000-00000C140000}"/>
    <cellStyle name="Output 2 7 17 2" xfId="4201" xr:uid="{00000000-0005-0000-0000-00000D140000}"/>
    <cellStyle name="Output 2 7 17 3" xfId="6099" xr:uid="{00000000-0005-0000-0000-00000E140000}"/>
    <cellStyle name="Output 2 7 18" xfId="1846" xr:uid="{00000000-0005-0000-0000-00000F140000}"/>
    <cellStyle name="Output 2 7 18 2" xfId="4202" xr:uid="{00000000-0005-0000-0000-000010140000}"/>
    <cellStyle name="Output 2 7 18 3" xfId="6100" xr:uid="{00000000-0005-0000-0000-000011140000}"/>
    <cellStyle name="Output 2 7 19" xfId="1847" xr:uid="{00000000-0005-0000-0000-000012140000}"/>
    <cellStyle name="Output 2 7 19 2" xfId="4203" xr:uid="{00000000-0005-0000-0000-000013140000}"/>
    <cellStyle name="Output 2 7 19 3" xfId="6101" xr:uid="{00000000-0005-0000-0000-000014140000}"/>
    <cellStyle name="Output 2 7 2" xfId="1848" xr:uid="{00000000-0005-0000-0000-000015140000}"/>
    <cellStyle name="Output 2 7 2 2" xfId="4204" xr:uid="{00000000-0005-0000-0000-000016140000}"/>
    <cellStyle name="Output 2 7 2 3" xfId="6102" xr:uid="{00000000-0005-0000-0000-000017140000}"/>
    <cellStyle name="Output 2 7 20" xfId="1849" xr:uid="{00000000-0005-0000-0000-000018140000}"/>
    <cellStyle name="Output 2 7 20 2" xfId="4205" xr:uid="{00000000-0005-0000-0000-000019140000}"/>
    <cellStyle name="Output 2 7 20 3" xfId="6103" xr:uid="{00000000-0005-0000-0000-00001A140000}"/>
    <cellStyle name="Output 2 7 21" xfId="1850" xr:uid="{00000000-0005-0000-0000-00001B140000}"/>
    <cellStyle name="Output 2 7 21 2" xfId="4206" xr:uid="{00000000-0005-0000-0000-00001C140000}"/>
    <cellStyle name="Output 2 7 21 3" xfId="6104" xr:uid="{00000000-0005-0000-0000-00001D140000}"/>
    <cellStyle name="Output 2 7 22" xfId="1851" xr:uid="{00000000-0005-0000-0000-00001E140000}"/>
    <cellStyle name="Output 2 7 22 2" xfId="4207" xr:uid="{00000000-0005-0000-0000-00001F140000}"/>
    <cellStyle name="Output 2 7 22 3" xfId="6105" xr:uid="{00000000-0005-0000-0000-000020140000}"/>
    <cellStyle name="Output 2 7 23" xfId="1852" xr:uid="{00000000-0005-0000-0000-000021140000}"/>
    <cellStyle name="Output 2 7 23 2" xfId="4208" xr:uid="{00000000-0005-0000-0000-000022140000}"/>
    <cellStyle name="Output 2 7 23 3" xfId="6106" xr:uid="{00000000-0005-0000-0000-000023140000}"/>
    <cellStyle name="Output 2 7 24" xfId="4193" xr:uid="{00000000-0005-0000-0000-000024140000}"/>
    <cellStyle name="Output 2 7 25" xfId="6091" xr:uid="{00000000-0005-0000-0000-000025140000}"/>
    <cellStyle name="Output 2 7 3" xfId="1853" xr:uid="{00000000-0005-0000-0000-000026140000}"/>
    <cellStyle name="Output 2 7 3 2" xfId="4209" xr:uid="{00000000-0005-0000-0000-000027140000}"/>
    <cellStyle name="Output 2 7 3 3" xfId="6107" xr:uid="{00000000-0005-0000-0000-000028140000}"/>
    <cellStyle name="Output 2 7 4" xfId="1854" xr:uid="{00000000-0005-0000-0000-000029140000}"/>
    <cellStyle name="Output 2 7 4 2" xfId="4210" xr:uid="{00000000-0005-0000-0000-00002A140000}"/>
    <cellStyle name="Output 2 7 4 3" xfId="6108" xr:uid="{00000000-0005-0000-0000-00002B140000}"/>
    <cellStyle name="Output 2 7 5" xfId="1855" xr:uid="{00000000-0005-0000-0000-00002C140000}"/>
    <cellStyle name="Output 2 7 5 2" xfId="4211" xr:uid="{00000000-0005-0000-0000-00002D140000}"/>
    <cellStyle name="Output 2 7 5 3" xfId="6109" xr:uid="{00000000-0005-0000-0000-00002E140000}"/>
    <cellStyle name="Output 2 7 6" xfId="1856" xr:uid="{00000000-0005-0000-0000-00002F140000}"/>
    <cellStyle name="Output 2 7 6 2" xfId="4212" xr:uid="{00000000-0005-0000-0000-000030140000}"/>
    <cellStyle name="Output 2 7 6 3" xfId="6110" xr:uid="{00000000-0005-0000-0000-000031140000}"/>
    <cellStyle name="Output 2 7 7" xfId="1857" xr:uid="{00000000-0005-0000-0000-000032140000}"/>
    <cellStyle name="Output 2 7 7 2" xfId="4213" xr:uid="{00000000-0005-0000-0000-000033140000}"/>
    <cellStyle name="Output 2 7 7 3" xfId="6111" xr:uid="{00000000-0005-0000-0000-000034140000}"/>
    <cellStyle name="Output 2 7 8" xfId="1858" xr:uid="{00000000-0005-0000-0000-000035140000}"/>
    <cellStyle name="Output 2 7 8 2" xfId="4214" xr:uid="{00000000-0005-0000-0000-000036140000}"/>
    <cellStyle name="Output 2 7 8 3" xfId="6112" xr:uid="{00000000-0005-0000-0000-000037140000}"/>
    <cellStyle name="Output 2 7 9" xfId="1859" xr:uid="{00000000-0005-0000-0000-000038140000}"/>
    <cellStyle name="Output 2 7 9 2" xfId="4215" xr:uid="{00000000-0005-0000-0000-000039140000}"/>
    <cellStyle name="Output 2 7 9 3" xfId="6113" xr:uid="{00000000-0005-0000-0000-00003A140000}"/>
    <cellStyle name="Output 2 8" xfId="1860" xr:uid="{00000000-0005-0000-0000-00003B140000}"/>
    <cellStyle name="Output 2 8 10" xfId="1861" xr:uid="{00000000-0005-0000-0000-00003C140000}"/>
    <cellStyle name="Output 2 8 10 2" xfId="4217" xr:uid="{00000000-0005-0000-0000-00003D140000}"/>
    <cellStyle name="Output 2 8 10 3" xfId="6115" xr:uid="{00000000-0005-0000-0000-00003E140000}"/>
    <cellStyle name="Output 2 8 11" xfId="1862" xr:uid="{00000000-0005-0000-0000-00003F140000}"/>
    <cellStyle name="Output 2 8 11 2" xfId="4218" xr:uid="{00000000-0005-0000-0000-000040140000}"/>
    <cellStyle name="Output 2 8 11 3" xfId="6116" xr:uid="{00000000-0005-0000-0000-000041140000}"/>
    <cellStyle name="Output 2 8 12" xfId="1863" xr:uid="{00000000-0005-0000-0000-000042140000}"/>
    <cellStyle name="Output 2 8 12 2" xfId="4219" xr:uid="{00000000-0005-0000-0000-000043140000}"/>
    <cellStyle name="Output 2 8 12 3" xfId="6117" xr:uid="{00000000-0005-0000-0000-000044140000}"/>
    <cellStyle name="Output 2 8 13" xfId="1864" xr:uid="{00000000-0005-0000-0000-000045140000}"/>
    <cellStyle name="Output 2 8 13 2" xfId="4220" xr:uid="{00000000-0005-0000-0000-000046140000}"/>
    <cellStyle name="Output 2 8 13 3" xfId="6118" xr:uid="{00000000-0005-0000-0000-000047140000}"/>
    <cellStyle name="Output 2 8 14" xfId="1865" xr:uid="{00000000-0005-0000-0000-000048140000}"/>
    <cellStyle name="Output 2 8 14 2" xfId="4221" xr:uid="{00000000-0005-0000-0000-000049140000}"/>
    <cellStyle name="Output 2 8 14 3" xfId="6119" xr:uid="{00000000-0005-0000-0000-00004A140000}"/>
    <cellStyle name="Output 2 8 15" xfId="1866" xr:uid="{00000000-0005-0000-0000-00004B140000}"/>
    <cellStyle name="Output 2 8 15 2" xfId="4222" xr:uid="{00000000-0005-0000-0000-00004C140000}"/>
    <cellStyle name="Output 2 8 15 3" xfId="6120" xr:uid="{00000000-0005-0000-0000-00004D140000}"/>
    <cellStyle name="Output 2 8 16" xfId="1867" xr:uid="{00000000-0005-0000-0000-00004E140000}"/>
    <cellStyle name="Output 2 8 16 2" xfId="4223" xr:uid="{00000000-0005-0000-0000-00004F140000}"/>
    <cellStyle name="Output 2 8 16 3" xfId="6121" xr:uid="{00000000-0005-0000-0000-000050140000}"/>
    <cellStyle name="Output 2 8 17" xfId="1868" xr:uid="{00000000-0005-0000-0000-000051140000}"/>
    <cellStyle name="Output 2 8 17 2" xfId="4224" xr:uid="{00000000-0005-0000-0000-000052140000}"/>
    <cellStyle name="Output 2 8 17 3" xfId="6122" xr:uid="{00000000-0005-0000-0000-000053140000}"/>
    <cellStyle name="Output 2 8 18" xfId="1869" xr:uid="{00000000-0005-0000-0000-000054140000}"/>
    <cellStyle name="Output 2 8 18 2" xfId="4225" xr:uid="{00000000-0005-0000-0000-000055140000}"/>
    <cellStyle name="Output 2 8 18 3" xfId="6123" xr:uid="{00000000-0005-0000-0000-000056140000}"/>
    <cellStyle name="Output 2 8 19" xfId="1870" xr:uid="{00000000-0005-0000-0000-000057140000}"/>
    <cellStyle name="Output 2 8 19 2" xfId="4226" xr:uid="{00000000-0005-0000-0000-000058140000}"/>
    <cellStyle name="Output 2 8 19 3" xfId="6124" xr:uid="{00000000-0005-0000-0000-000059140000}"/>
    <cellStyle name="Output 2 8 2" xfId="1871" xr:uid="{00000000-0005-0000-0000-00005A140000}"/>
    <cellStyle name="Output 2 8 2 2" xfId="4227" xr:uid="{00000000-0005-0000-0000-00005B140000}"/>
    <cellStyle name="Output 2 8 2 3" xfId="6125" xr:uid="{00000000-0005-0000-0000-00005C140000}"/>
    <cellStyle name="Output 2 8 20" xfId="1872" xr:uid="{00000000-0005-0000-0000-00005D140000}"/>
    <cellStyle name="Output 2 8 20 2" xfId="4228" xr:uid="{00000000-0005-0000-0000-00005E140000}"/>
    <cellStyle name="Output 2 8 20 3" xfId="6126" xr:uid="{00000000-0005-0000-0000-00005F140000}"/>
    <cellStyle name="Output 2 8 21" xfId="1873" xr:uid="{00000000-0005-0000-0000-000060140000}"/>
    <cellStyle name="Output 2 8 21 2" xfId="4229" xr:uid="{00000000-0005-0000-0000-000061140000}"/>
    <cellStyle name="Output 2 8 21 3" xfId="6127" xr:uid="{00000000-0005-0000-0000-000062140000}"/>
    <cellStyle name="Output 2 8 22" xfId="1874" xr:uid="{00000000-0005-0000-0000-000063140000}"/>
    <cellStyle name="Output 2 8 22 2" xfId="4230" xr:uid="{00000000-0005-0000-0000-000064140000}"/>
    <cellStyle name="Output 2 8 22 3" xfId="6128" xr:uid="{00000000-0005-0000-0000-000065140000}"/>
    <cellStyle name="Output 2 8 23" xfId="1875" xr:uid="{00000000-0005-0000-0000-000066140000}"/>
    <cellStyle name="Output 2 8 23 2" xfId="4231" xr:uid="{00000000-0005-0000-0000-000067140000}"/>
    <cellStyle name="Output 2 8 23 3" xfId="6129" xr:uid="{00000000-0005-0000-0000-000068140000}"/>
    <cellStyle name="Output 2 8 24" xfId="4216" xr:uid="{00000000-0005-0000-0000-000069140000}"/>
    <cellStyle name="Output 2 8 25" xfId="6114" xr:uid="{00000000-0005-0000-0000-00006A140000}"/>
    <cellStyle name="Output 2 8 3" xfId="1876" xr:uid="{00000000-0005-0000-0000-00006B140000}"/>
    <cellStyle name="Output 2 8 3 2" xfId="4232" xr:uid="{00000000-0005-0000-0000-00006C140000}"/>
    <cellStyle name="Output 2 8 3 3" xfId="6130" xr:uid="{00000000-0005-0000-0000-00006D140000}"/>
    <cellStyle name="Output 2 8 4" xfId="1877" xr:uid="{00000000-0005-0000-0000-00006E140000}"/>
    <cellStyle name="Output 2 8 4 2" xfId="4233" xr:uid="{00000000-0005-0000-0000-00006F140000}"/>
    <cellStyle name="Output 2 8 4 3" xfId="6131" xr:uid="{00000000-0005-0000-0000-000070140000}"/>
    <cellStyle name="Output 2 8 5" xfId="1878" xr:uid="{00000000-0005-0000-0000-000071140000}"/>
    <cellStyle name="Output 2 8 5 2" xfId="4234" xr:uid="{00000000-0005-0000-0000-000072140000}"/>
    <cellStyle name="Output 2 8 5 3" xfId="6132" xr:uid="{00000000-0005-0000-0000-000073140000}"/>
    <cellStyle name="Output 2 8 6" xfId="1879" xr:uid="{00000000-0005-0000-0000-000074140000}"/>
    <cellStyle name="Output 2 8 6 2" xfId="4235" xr:uid="{00000000-0005-0000-0000-000075140000}"/>
    <cellStyle name="Output 2 8 6 3" xfId="6133" xr:uid="{00000000-0005-0000-0000-000076140000}"/>
    <cellStyle name="Output 2 8 7" xfId="1880" xr:uid="{00000000-0005-0000-0000-000077140000}"/>
    <cellStyle name="Output 2 8 7 2" xfId="4236" xr:uid="{00000000-0005-0000-0000-000078140000}"/>
    <cellStyle name="Output 2 8 7 3" xfId="6134" xr:uid="{00000000-0005-0000-0000-000079140000}"/>
    <cellStyle name="Output 2 8 8" xfId="1881" xr:uid="{00000000-0005-0000-0000-00007A140000}"/>
    <cellStyle name="Output 2 8 8 2" xfId="4237" xr:uid="{00000000-0005-0000-0000-00007B140000}"/>
    <cellStyle name="Output 2 8 8 3" xfId="6135" xr:uid="{00000000-0005-0000-0000-00007C140000}"/>
    <cellStyle name="Output 2 8 9" xfId="1882" xr:uid="{00000000-0005-0000-0000-00007D140000}"/>
    <cellStyle name="Output 2 8 9 2" xfId="4238" xr:uid="{00000000-0005-0000-0000-00007E140000}"/>
    <cellStyle name="Output 2 8 9 3" xfId="6136" xr:uid="{00000000-0005-0000-0000-00007F140000}"/>
    <cellStyle name="Output 2 9" xfId="1883" xr:uid="{00000000-0005-0000-0000-000080140000}"/>
    <cellStyle name="Output 2 9 10" xfId="1884" xr:uid="{00000000-0005-0000-0000-000081140000}"/>
    <cellStyle name="Output 2 9 10 2" xfId="4240" xr:uid="{00000000-0005-0000-0000-000082140000}"/>
    <cellStyle name="Output 2 9 10 3" xfId="6138" xr:uid="{00000000-0005-0000-0000-000083140000}"/>
    <cellStyle name="Output 2 9 11" xfId="1885" xr:uid="{00000000-0005-0000-0000-000084140000}"/>
    <cellStyle name="Output 2 9 11 2" xfId="4241" xr:uid="{00000000-0005-0000-0000-000085140000}"/>
    <cellStyle name="Output 2 9 11 3" xfId="6139" xr:uid="{00000000-0005-0000-0000-000086140000}"/>
    <cellStyle name="Output 2 9 12" xfId="1886" xr:uid="{00000000-0005-0000-0000-000087140000}"/>
    <cellStyle name="Output 2 9 12 2" xfId="4242" xr:uid="{00000000-0005-0000-0000-000088140000}"/>
    <cellStyle name="Output 2 9 12 3" xfId="6140" xr:uid="{00000000-0005-0000-0000-000089140000}"/>
    <cellStyle name="Output 2 9 13" xfId="1887" xr:uid="{00000000-0005-0000-0000-00008A140000}"/>
    <cellStyle name="Output 2 9 13 2" xfId="4243" xr:uid="{00000000-0005-0000-0000-00008B140000}"/>
    <cellStyle name="Output 2 9 13 3" xfId="6141" xr:uid="{00000000-0005-0000-0000-00008C140000}"/>
    <cellStyle name="Output 2 9 14" xfId="1888" xr:uid="{00000000-0005-0000-0000-00008D140000}"/>
    <cellStyle name="Output 2 9 14 2" xfId="4244" xr:uid="{00000000-0005-0000-0000-00008E140000}"/>
    <cellStyle name="Output 2 9 14 3" xfId="6142" xr:uid="{00000000-0005-0000-0000-00008F140000}"/>
    <cellStyle name="Output 2 9 15" xfId="1889" xr:uid="{00000000-0005-0000-0000-000090140000}"/>
    <cellStyle name="Output 2 9 15 2" xfId="4245" xr:uid="{00000000-0005-0000-0000-000091140000}"/>
    <cellStyle name="Output 2 9 15 3" xfId="6143" xr:uid="{00000000-0005-0000-0000-000092140000}"/>
    <cellStyle name="Output 2 9 16" xfId="1890" xr:uid="{00000000-0005-0000-0000-000093140000}"/>
    <cellStyle name="Output 2 9 16 2" xfId="4246" xr:uid="{00000000-0005-0000-0000-000094140000}"/>
    <cellStyle name="Output 2 9 16 3" xfId="6144" xr:uid="{00000000-0005-0000-0000-000095140000}"/>
    <cellStyle name="Output 2 9 17" xfId="1891" xr:uid="{00000000-0005-0000-0000-000096140000}"/>
    <cellStyle name="Output 2 9 17 2" xfId="4247" xr:uid="{00000000-0005-0000-0000-000097140000}"/>
    <cellStyle name="Output 2 9 17 3" xfId="6145" xr:uid="{00000000-0005-0000-0000-000098140000}"/>
    <cellStyle name="Output 2 9 18" xfId="1892" xr:uid="{00000000-0005-0000-0000-000099140000}"/>
    <cellStyle name="Output 2 9 18 2" xfId="4248" xr:uid="{00000000-0005-0000-0000-00009A140000}"/>
    <cellStyle name="Output 2 9 18 3" xfId="6146" xr:uid="{00000000-0005-0000-0000-00009B140000}"/>
    <cellStyle name="Output 2 9 19" xfId="1893" xr:uid="{00000000-0005-0000-0000-00009C140000}"/>
    <cellStyle name="Output 2 9 19 2" xfId="4249" xr:uid="{00000000-0005-0000-0000-00009D140000}"/>
    <cellStyle name="Output 2 9 19 3" xfId="6147" xr:uid="{00000000-0005-0000-0000-00009E140000}"/>
    <cellStyle name="Output 2 9 2" xfId="1894" xr:uid="{00000000-0005-0000-0000-00009F140000}"/>
    <cellStyle name="Output 2 9 2 2" xfId="4250" xr:uid="{00000000-0005-0000-0000-0000A0140000}"/>
    <cellStyle name="Output 2 9 2 3" xfId="6148" xr:uid="{00000000-0005-0000-0000-0000A1140000}"/>
    <cellStyle name="Output 2 9 20" xfId="1895" xr:uid="{00000000-0005-0000-0000-0000A2140000}"/>
    <cellStyle name="Output 2 9 20 2" xfId="4251" xr:uid="{00000000-0005-0000-0000-0000A3140000}"/>
    <cellStyle name="Output 2 9 20 3" xfId="6149" xr:uid="{00000000-0005-0000-0000-0000A4140000}"/>
    <cellStyle name="Output 2 9 21" xfId="1896" xr:uid="{00000000-0005-0000-0000-0000A5140000}"/>
    <cellStyle name="Output 2 9 21 2" xfId="4252" xr:uid="{00000000-0005-0000-0000-0000A6140000}"/>
    <cellStyle name="Output 2 9 21 3" xfId="6150" xr:uid="{00000000-0005-0000-0000-0000A7140000}"/>
    <cellStyle name="Output 2 9 22" xfId="1897" xr:uid="{00000000-0005-0000-0000-0000A8140000}"/>
    <cellStyle name="Output 2 9 22 2" xfId="4253" xr:uid="{00000000-0005-0000-0000-0000A9140000}"/>
    <cellStyle name="Output 2 9 22 3" xfId="6151" xr:uid="{00000000-0005-0000-0000-0000AA140000}"/>
    <cellStyle name="Output 2 9 23" xfId="1898" xr:uid="{00000000-0005-0000-0000-0000AB140000}"/>
    <cellStyle name="Output 2 9 23 2" xfId="4254" xr:uid="{00000000-0005-0000-0000-0000AC140000}"/>
    <cellStyle name="Output 2 9 23 3" xfId="6152" xr:uid="{00000000-0005-0000-0000-0000AD140000}"/>
    <cellStyle name="Output 2 9 24" xfId="4239" xr:uid="{00000000-0005-0000-0000-0000AE140000}"/>
    <cellStyle name="Output 2 9 25" xfId="6137" xr:uid="{00000000-0005-0000-0000-0000AF140000}"/>
    <cellStyle name="Output 2 9 3" xfId="1899" xr:uid="{00000000-0005-0000-0000-0000B0140000}"/>
    <cellStyle name="Output 2 9 3 2" xfId="4255" xr:uid="{00000000-0005-0000-0000-0000B1140000}"/>
    <cellStyle name="Output 2 9 3 3" xfId="6153" xr:uid="{00000000-0005-0000-0000-0000B2140000}"/>
    <cellStyle name="Output 2 9 4" xfId="1900" xr:uid="{00000000-0005-0000-0000-0000B3140000}"/>
    <cellStyle name="Output 2 9 4 2" xfId="4256" xr:uid="{00000000-0005-0000-0000-0000B4140000}"/>
    <cellStyle name="Output 2 9 4 3" xfId="6154" xr:uid="{00000000-0005-0000-0000-0000B5140000}"/>
    <cellStyle name="Output 2 9 5" xfId="1901" xr:uid="{00000000-0005-0000-0000-0000B6140000}"/>
    <cellStyle name="Output 2 9 5 2" xfId="4257" xr:uid="{00000000-0005-0000-0000-0000B7140000}"/>
    <cellStyle name="Output 2 9 5 3" xfId="6155" xr:uid="{00000000-0005-0000-0000-0000B8140000}"/>
    <cellStyle name="Output 2 9 6" xfId="1902" xr:uid="{00000000-0005-0000-0000-0000B9140000}"/>
    <cellStyle name="Output 2 9 6 2" xfId="4258" xr:uid="{00000000-0005-0000-0000-0000BA140000}"/>
    <cellStyle name="Output 2 9 6 3" xfId="6156" xr:uid="{00000000-0005-0000-0000-0000BB140000}"/>
    <cellStyle name="Output 2 9 7" xfId="1903" xr:uid="{00000000-0005-0000-0000-0000BC140000}"/>
    <cellStyle name="Output 2 9 7 2" xfId="4259" xr:uid="{00000000-0005-0000-0000-0000BD140000}"/>
    <cellStyle name="Output 2 9 7 3" xfId="6157" xr:uid="{00000000-0005-0000-0000-0000BE140000}"/>
    <cellStyle name="Output 2 9 8" xfId="1904" xr:uid="{00000000-0005-0000-0000-0000BF140000}"/>
    <cellStyle name="Output 2 9 8 2" xfId="4260" xr:uid="{00000000-0005-0000-0000-0000C0140000}"/>
    <cellStyle name="Output 2 9 8 3" xfId="6158" xr:uid="{00000000-0005-0000-0000-0000C1140000}"/>
    <cellStyle name="Output 2 9 9" xfId="1905" xr:uid="{00000000-0005-0000-0000-0000C2140000}"/>
    <cellStyle name="Output 2 9 9 2" xfId="4261" xr:uid="{00000000-0005-0000-0000-0000C3140000}"/>
    <cellStyle name="Output 2 9 9 3" xfId="6159" xr:uid="{00000000-0005-0000-0000-0000C4140000}"/>
    <cellStyle name="Output 3" xfId="4751" xr:uid="{00000000-0005-0000-0000-0000C5140000}"/>
    <cellStyle name="Output 4" xfId="2487" xr:uid="{00000000-0005-0000-0000-0000C6140000}"/>
    <cellStyle name="Output 5" xfId="4726" xr:uid="{00000000-0005-0000-0000-0000C7140000}"/>
    <cellStyle name="OUTPUT AMOUNTS" xfId="48" xr:uid="{00000000-0005-0000-0000-0000C8140000}"/>
    <cellStyle name="OUTPUT COLUMN HEADINGS" xfId="49" xr:uid="{00000000-0005-0000-0000-0000C9140000}"/>
    <cellStyle name="OUTPUT LINE ITEMS" xfId="50" xr:uid="{00000000-0005-0000-0000-0000CA140000}"/>
    <cellStyle name="OUTPUT REPORT HEADING" xfId="51" xr:uid="{00000000-0005-0000-0000-0000CB140000}"/>
    <cellStyle name="OUTPUT REPORT TITLE" xfId="52" xr:uid="{00000000-0005-0000-0000-0000CC140000}"/>
    <cellStyle name="Percent 2" xfId="88" xr:uid="{00000000-0005-0000-0000-0000CD140000}"/>
    <cellStyle name="Percent 2 2" xfId="97" xr:uid="{00000000-0005-0000-0000-0000CE140000}"/>
    <cellStyle name="Percent 2 2 2" xfId="6674" xr:uid="{00000000-0005-0000-0000-0000CF140000}"/>
    <cellStyle name="Percent 2 3" xfId="2378" xr:uid="{00000000-0005-0000-0000-0000D0140000}"/>
    <cellStyle name="Percent 2 3 2" xfId="4725" xr:uid="{00000000-0005-0000-0000-0000D1140000}"/>
    <cellStyle name="Percent 2 4" xfId="2502" xr:uid="{00000000-0005-0000-0000-0000D2140000}"/>
    <cellStyle name="Percent 3" xfId="89" xr:uid="{00000000-0005-0000-0000-0000D3140000}"/>
    <cellStyle name="Percent 3 2" xfId="1906" xr:uid="{00000000-0005-0000-0000-0000D4140000}"/>
    <cellStyle name="Percent 3 3" xfId="2503" xr:uid="{00000000-0005-0000-0000-0000D5140000}"/>
    <cellStyle name="Percent 4" xfId="96" xr:uid="{00000000-0005-0000-0000-0000D6140000}"/>
    <cellStyle name="Percent 4 2" xfId="2448" xr:uid="{00000000-0005-0000-0000-0000D7140000}"/>
    <cellStyle name="Percent 5" xfId="2425" xr:uid="{00000000-0005-0000-0000-0000D8140000}"/>
    <cellStyle name="Percent 6" xfId="4741" xr:uid="{00000000-0005-0000-0000-0000D9140000}"/>
    <cellStyle name="ReportTitlePrompt" xfId="53" xr:uid="{00000000-0005-0000-0000-0000DA140000}"/>
    <cellStyle name="ReportTitleValue" xfId="54" xr:uid="{00000000-0005-0000-0000-0000DB140000}"/>
    <cellStyle name="RowAcctAbovePrompt" xfId="55" xr:uid="{00000000-0005-0000-0000-0000DC140000}"/>
    <cellStyle name="RowAcctSOBAbovePrompt" xfId="56" xr:uid="{00000000-0005-0000-0000-0000DD140000}"/>
    <cellStyle name="RowAcctSOBValue" xfId="57" xr:uid="{00000000-0005-0000-0000-0000DE140000}"/>
    <cellStyle name="RowAcctValue" xfId="58" xr:uid="{00000000-0005-0000-0000-0000DF140000}"/>
    <cellStyle name="RowAttrAbovePrompt" xfId="59" xr:uid="{00000000-0005-0000-0000-0000E0140000}"/>
    <cellStyle name="RowAttrValue" xfId="60" xr:uid="{00000000-0005-0000-0000-0000E1140000}"/>
    <cellStyle name="RowColSetAbovePrompt" xfId="61" xr:uid="{00000000-0005-0000-0000-0000E2140000}"/>
    <cellStyle name="RowColSetLeftPrompt" xfId="62" xr:uid="{00000000-0005-0000-0000-0000E3140000}"/>
    <cellStyle name="RowColSetValue" xfId="63" xr:uid="{00000000-0005-0000-0000-0000E4140000}"/>
    <cellStyle name="RowLeftPrompt" xfId="64" xr:uid="{00000000-0005-0000-0000-0000E5140000}"/>
    <cellStyle name="SampleUsingFormatMask" xfId="65" xr:uid="{00000000-0005-0000-0000-0000E6140000}"/>
    <cellStyle name="SampleWithNoFormatMask" xfId="66" xr:uid="{00000000-0005-0000-0000-0000E7140000}"/>
    <cellStyle name="SecondHeader1" xfId="90" xr:uid="{00000000-0005-0000-0000-0000E8140000}"/>
    <cellStyle name="StandardNumberRow1" xfId="91" xr:uid="{00000000-0005-0000-0000-0000E9140000}"/>
    <cellStyle name="StandardRowHeader1" xfId="92" xr:uid="{00000000-0005-0000-0000-0000EA140000}"/>
    <cellStyle name="STYLE1" xfId="67" xr:uid="{00000000-0005-0000-0000-0000EB140000}"/>
    <cellStyle name="STYLE1 2" xfId="2449" xr:uid="{00000000-0005-0000-0000-0000EC140000}"/>
    <cellStyle name="STYLE2" xfId="1907" xr:uid="{00000000-0005-0000-0000-0000ED140000}"/>
    <cellStyle name="STYLE3" xfId="1908" xr:uid="{00000000-0005-0000-0000-0000EE140000}"/>
    <cellStyle name="Suma" xfId="1909" xr:uid="{00000000-0005-0000-0000-0000EF140000}"/>
    <cellStyle name="Suma 10" xfId="1910" xr:uid="{00000000-0005-0000-0000-0000F0140000}"/>
    <cellStyle name="Suma 10 2" xfId="4264" xr:uid="{00000000-0005-0000-0000-0000F1140000}"/>
    <cellStyle name="Suma 10 3" xfId="6161" xr:uid="{00000000-0005-0000-0000-0000F2140000}"/>
    <cellStyle name="Suma 11" xfId="1911" xr:uid="{00000000-0005-0000-0000-0000F3140000}"/>
    <cellStyle name="Suma 11 2" xfId="4265" xr:uid="{00000000-0005-0000-0000-0000F4140000}"/>
    <cellStyle name="Suma 11 3" xfId="6162" xr:uid="{00000000-0005-0000-0000-0000F5140000}"/>
    <cellStyle name="Suma 12" xfId="1912" xr:uid="{00000000-0005-0000-0000-0000F6140000}"/>
    <cellStyle name="Suma 12 2" xfId="4266" xr:uid="{00000000-0005-0000-0000-0000F7140000}"/>
    <cellStyle name="Suma 12 3" xfId="6163" xr:uid="{00000000-0005-0000-0000-0000F8140000}"/>
    <cellStyle name="Suma 13" xfId="1913" xr:uid="{00000000-0005-0000-0000-0000F9140000}"/>
    <cellStyle name="Suma 13 2" xfId="4267" xr:uid="{00000000-0005-0000-0000-0000FA140000}"/>
    <cellStyle name="Suma 13 3" xfId="6164" xr:uid="{00000000-0005-0000-0000-0000FB140000}"/>
    <cellStyle name="Suma 14" xfId="1914" xr:uid="{00000000-0005-0000-0000-0000FC140000}"/>
    <cellStyle name="Suma 14 2" xfId="4268" xr:uid="{00000000-0005-0000-0000-0000FD140000}"/>
    <cellStyle name="Suma 14 3" xfId="6165" xr:uid="{00000000-0005-0000-0000-0000FE140000}"/>
    <cellStyle name="Suma 15" xfId="1915" xr:uid="{00000000-0005-0000-0000-0000FF140000}"/>
    <cellStyle name="Suma 15 2" xfId="4269" xr:uid="{00000000-0005-0000-0000-000000150000}"/>
    <cellStyle name="Suma 15 3" xfId="6166" xr:uid="{00000000-0005-0000-0000-000001150000}"/>
    <cellStyle name="Suma 16" xfId="1916" xr:uid="{00000000-0005-0000-0000-000002150000}"/>
    <cellStyle name="Suma 16 2" xfId="4270" xr:uid="{00000000-0005-0000-0000-000003150000}"/>
    <cellStyle name="Suma 16 3" xfId="6167" xr:uid="{00000000-0005-0000-0000-000004150000}"/>
    <cellStyle name="Suma 17" xfId="1917" xr:uid="{00000000-0005-0000-0000-000005150000}"/>
    <cellStyle name="Suma 17 2" xfId="4271" xr:uid="{00000000-0005-0000-0000-000006150000}"/>
    <cellStyle name="Suma 17 3" xfId="6168" xr:uid="{00000000-0005-0000-0000-000007150000}"/>
    <cellStyle name="Suma 18" xfId="1918" xr:uid="{00000000-0005-0000-0000-000008150000}"/>
    <cellStyle name="Suma 18 2" xfId="4272" xr:uid="{00000000-0005-0000-0000-000009150000}"/>
    <cellStyle name="Suma 18 3" xfId="6169" xr:uid="{00000000-0005-0000-0000-00000A150000}"/>
    <cellStyle name="Suma 19" xfId="1919" xr:uid="{00000000-0005-0000-0000-00000B150000}"/>
    <cellStyle name="Suma 19 2" xfId="4273" xr:uid="{00000000-0005-0000-0000-00000C150000}"/>
    <cellStyle name="Suma 19 3" xfId="6170" xr:uid="{00000000-0005-0000-0000-00000D150000}"/>
    <cellStyle name="Suma 2" xfId="1920" xr:uid="{00000000-0005-0000-0000-00000E150000}"/>
    <cellStyle name="Suma 2 10" xfId="1921" xr:uid="{00000000-0005-0000-0000-00000F150000}"/>
    <cellStyle name="Suma 2 10 2" xfId="4275" xr:uid="{00000000-0005-0000-0000-000010150000}"/>
    <cellStyle name="Suma 2 10 3" xfId="6172" xr:uid="{00000000-0005-0000-0000-000011150000}"/>
    <cellStyle name="Suma 2 11" xfId="1922" xr:uid="{00000000-0005-0000-0000-000012150000}"/>
    <cellStyle name="Suma 2 11 2" xfId="4276" xr:uid="{00000000-0005-0000-0000-000013150000}"/>
    <cellStyle name="Suma 2 11 3" xfId="6173" xr:uid="{00000000-0005-0000-0000-000014150000}"/>
    <cellStyle name="Suma 2 12" xfId="1923" xr:uid="{00000000-0005-0000-0000-000015150000}"/>
    <cellStyle name="Suma 2 12 2" xfId="4277" xr:uid="{00000000-0005-0000-0000-000016150000}"/>
    <cellStyle name="Suma 2 12 3" xfId="6174" xr:uid="{00000000-0005-0000-0000-000017150000}"/>
    <cellStyle name="Suma 2 13" xfId="1924" xr:uid="{00000000-0005-0000-0000-000018150000}"/>
    <cellStyle name="Suma 2 13 2" xfId="4278" xr:uid="{00000000-0005-0000-0000-000019150000}"/>
    <cellStyle name="Suma 2 13 3" xfId="6175" xr:uid="{00000000-0005-0000-0000-00001A150000}"/>
    <cellStyle name="Suma 2 14" xfId="1925" xr:uid="{00000000-0005-0000-0000-00001B150000}"/>
    <cellStyle name="Suma 2 14 2" xfId="4279" xr:uid="{00000000-0005-0000-0000-00001C150000}"/>
    <cellStyle name="Suma 2 14 3" xfId="6176" xr:uid="{00000000-0005-0000-0000-00001D150000}"/>
    <cellStyle name="Suma 2 15" xfId="1926" xr:uid="{00000000-0005-0000-0000-00001E150000}"/>
    <cellStyle name="Suma 2 15 2" xfId="4280" xr:uid="{00000000-0005-0000-0000-00001F150000}"/>
    <cellStyle name="Suma 2 15 3" xfId="6177" xr:uid="{00000000-0005-0000-0000-000020150000}"/>
    <cellStyle name="Suma 2 16" xfId="1927" xr:uid="{00000000-0005-0000-0000-000021150000}"/>
    <cellStyle name="Suma 2 16 2" xfId="4281" xr:uid="{00000000-0005-0000-0000-000022150000}"/>
    <cellStyle name="Suma 2 16 3" xfId="6178" xr:uid="{00000000-0005-0000-0000-000023150000}"/>
    <cellStyle name="Suma 2 17" xfId="1928" xr:uid="{00000000-0005-0000-0000-000024150000}"/>
    <cellStyle name="Suma 2 17 2" xfId="4282" xr:uid="{00000000-0005-0000-0000-000025150000}"/>
    <cellStyle name="Suma 2 17 3" xfId="6179" xr:uid="{00000000-0005-0000-0000-000026150000}"/>
    <cellStyle name="Suma 2 18" xfId="1929" xr:uid="{00000000-0005-0000-0000-000027150000}"/>
    <cellStyle name="Suma 2 18 2" xfId="4283" xr:uid="{00000000-0005-0000-0000-000028150000}"/>
    <cellStyle name="Suma 2 18 3" xfId="6180" xr:uid="{00000000-0005-0000-0000-000029150000}"/>
    <cellStyle name="Suma 2 19" xfId="1930" xr:uid="{00000000-0005-0000-0000-00002A150000}"/>
    <cellStyle name="Suma 2 19 2" xfId="4284" xr:uid="{00000000-0005-0000-0000-00002B150000}"/>
    <cellStyle name="Suma 2 19 3" xfId="6181" xr:uid="{00000000-0005-0000-0000-00002C150000}"/>
    <cellStyle name="Suma 2 2" xfId="1931" xr:uid="{00000000-0005-0000-0000-00002D150000}"/>
    <cellStyle name="Suma 2 2 2" xfId="4285" xr:uid="{00000000-0005-0000-0000-00002E150000}"/>
    <cellStyle name="Suma 2 2 3" xfId="6182" xr:uid="{00000000-0005-0000-0000-00002F150000}"/>
    <cellStyle name="Suma 2 20" xfId="1932" xr:uid="{00000000-0005-0000-0000-000030150000}"/>
    <cellStyle name="Suma 2 20 2" xfId="4286" xr:uid="{00000000-0005-0000-0000-000031150000}"/>
    <cellStyle name="Suma 2 20 3" xfId="6183" xr:uid="{00000000-0005-0000-0000-000032150000}"/>
    <cellStyle name="Suma 2 21" xfId="1933" xr:uid="{00000000-0005-0000-0000-000033150000}"/>
    <cellStyle name="Suma 2 21 2" xfId="4287" xr:uid="{00000000-0005-0000-0000-000034150000}"/>
    <cellStyle name="Suma 2 21 3" xfId="6184" xr:uid="{00000000-0005-0000-0000-000035150000}"/>
    <cellStyle name="Suma 2 22" xfId="1934" xr:uid="{00000000-0005-0000-0000-000036150000}"/>
    <cellStyle name="Suma 2 22 2" xfId="4288" xr:uid="{00000000-0005-0000-0000-000037150000}"/>
    <cellStyle name="Suma 2 22 3" xfId="6185" xr:uid="{00000000-0005-0000-0000-000038150000}"/>
    <cellStyle name="Suma 2 23" xfId="1935" xr:uid="{00000000-0005-0000-0000-000039150000}"/>
    <cellStyle name="Suma 2 23 2" xfId="4289" xr:uid="{00000000-0005-0000-0000-00003A150000}"/>
    <cellStyle name="Suma 2 23 3" xfId="6186" xr:uid="{00000000-0005-0000-0000-00003B150000}"/>
    <cellStyle name="Suma 2 24" xfId="4274" xr:uid="{00000000-0005-0000-0000-00003C150000}"/>
    <cellStyle name="Suma 2 25" xfId="6171" xr:uid="{00000000-0005-0000-0000-00003D150000}"/>
    <cellStyle name="Suma 2 3" xfId="1936" xr:uid="{00000000-0005-0000-0000-00003E150000}"/>
    <cellStyle name="Suma 2 3 2" xfId="4290" xr:uid="{00000000-0005-0000-0000-00003F150000}"/>
    <cellStyle name="Suma 2 3 3" xfId="6187" xr:uid="{00000000-0005-0000-0000-000040150000}"/>
    <cellStyle name="Suma 2 4" xfId="1937" xr:uid="{00000000-0005-0000-0000-000041150000}"/>
    <cellStyle name="Suma 2 4 2" xfId="4291" xr:uid="{00000000-0005-0000-0000-000042150000}"/>
    <cellStyle name="Suma 2 4 3" xfId="6188" xr:uid="{00000000-0005-0000-0000-000043150000}"/>
    <cellStyle name="Suma 2 5" xfId="1938" xr:uid="{00000000-0005-0000-0000-000044150000}"/>
    <cellStyle name="Suma 2 5 2" xfId="4292" xr:uid="{00000000-0005-0000-0000-000045150000}"/>
    <cellStyle name="Suma 2 5 3" xfId="6189" xr:uid="{00000000-0005-0000-0000-000046150000}"/>
    <cellStyle name="Suma 2 6" xfId="1939" xr:uid="{00000000-0005-0000-0000-000047150000}"/>
    <cellStyle name="Suma 2 6 2" xfId="4293" xr:uid="{00000000-0005-0000-0000-000048150000}"/>
    <cellStyle name="Suma 2 6 3" xfId="6190" xr:uid="{00000000-0005-0000-0000-000049150000}"/>
    <cellStyle name="Suma 2 7" xfId="1940" xr:uid="{00000000-0005-0000-0000-00004A150000}"/>
    <cellStyle name="Suma 2 7 2" xfId="4294" xr:uid="{00000000-0005-0000-0000-00004B150000}"/>
    <cellStyle name="Suma 2 7 3" xfId="6191" xr:uid="{00000000-0005-0000-0000-00004C150000}"/>
    <cellStyle name="Suma 2 8" xfId="1941" xr:uid="{00000000-0005-0000-0000-00004D150000}"/>
    <cellStyle name="Suma 2 8 2" xfId="4295" xr:uid="{00000000-0005-0000-0000-00004E150000}"/>
    <cellStyle name="Suma 2 8 3" xfId="6192" xr:uid="{00000000-0005-0000-0000-00004F150000}"/>
    <cellStyle name="Suma 2 9" xfId="1942" xr:uid="{00000000-0005-0000-0000-000050150000}"/>
    <cellStyle name="Suma 2 9 2" xfId="4296" xr:uid="{00000000-0005-0000-0000-000051150000}"/>
    <cellStyle name="Suma 2 9 3" xfId="6193" xr:uid="{00000000-0005-0000-0000-000052150000}"/>
    <cellStyle name="Suma 20" xfId="1943" xr:uid="{00000000-0005-0000-0000-000053150000}"/>
    <cellStyle name="Suma 20 2" xfId="4297" xr:uid="{00000000-0005-0000-0000-000054150000}"/>
    <cellStyle name="Suma 20 3" xfId="6194" xr:uid="{00000000-0005-0000-0000-000055150000}"/>
    <cellStyle name="Suma 21" xfId="1944" xr:uid="{00000000-0005-0000-0000-000056150000}"/>
    <cellStyle name="Suma 21 2" xfId="4298" xr:uid="{00000000-0005-0000-0000-000057150000}"/>
    <cellStyle name="Suma 21 3" xfId="6195" xr:uid="{00000000-0005-0000-0000-000058150000}"/>
    <cellStyle name="Suma 22" xfId="1945" xr:uid="{00000000-0005-0000-0000-000059150000}"/>
    <cellStyle name="Suma 22 2" xfId="4299" xr:uid="{00000000-0005-0000-0000-00005A150000}"/>
    <cellStyle name="Suma 22 3" xfId="6196" xr:uid="{00000000-0005-0000-0000-00005B150000}"/>
    <cellStyle name="Suma 23" xfId="1946" xr:uid="{00000000-0005-0000-0000-00005C150000}"/>
    <cellStyle name="Suma 23 2" xfId="4300" xr:uid="{00000000-0005-0000-0000-00005D150000}"/>
    <cellStyle name="Suma 23 3" xfId="6197" xr:uid="{00000000-0005-0000-0000-00005E150000}"/>
    <cellStyle name="Suma 24" xfId="1947" xr:uid="{00000000-0005-0000-0000-00005F150000}"/>
    <cellStyle name="Suma 24 2" xfId="4301" xr:uid="{00000000-0005-0000-0000-000060150000}"/>
    <cellStyle name="Suma 24 3" xfId="6198" xr:uid="{00000000-0005-0000-0000-000061150000}"/>
    <cellStyle name="Suma 25" xfId="1948" xr:uid="{00000000-0005-0000-0000-000062150000}"/>
    <cellStyle name="Suma 25 2" xfId="4302" xr:uid="{00000000-0005-0000-0000-000063150000}"/>
    <cellStyle name="Suma 25 3" xfId="6199" xr:uid="{00000000-0005-0000-0000-000064150000}"/>
    <cellStyle name="Suma 26" xfId="4263" xr:uid="{00000000-0005-0000-0000-000065150000}"/>
    <cellStyle name="Suma 27" xfId="6160" xr:uid="{00000000-0005-0000-0000-000066150000}"/>
    <cellStyle name="Suma 3" xfId="1949" xr:uid="{00000000-0005-0000-0000-000067150000}"/>
    <cellStyle name="Suma 3 10" xfId="1950" xr:uid="{00000000-0005-0000-0000-000068150000}"/>
    <cellStyle name="Suma 3 10 2" xfId="4304" xr:uid="{00000000-0005-0000-0000-000069150000}"/>
    <cellStyle name="Suma 3 10 3" xfId="6201" xr:uid="{00000000-0005-0000-0000-00006A150000}"/>
    <cellStyle name="Suma 3 11" xfId="1951" xr:uid="{00000000-0005-0000-0000-00006B150000}"/>
    <cellStyle name="Suma 3 11 2" xfId="4305" xr:uid="{00000000-0005-0000-0000-00006C150000}"/>
    <cellStyle name="Suma 3 11 3" xfId="6202" xr:uid="{00000000-0005-0000-0000-00006D150000}"/>
    <cellStyle name="Suma 3 12" xfId="1952" xr:uid="{00000000-0005-0000-0000-00006E150000}"/>
    <cellStyle name="Suma 3 12 2" xfId="4306" xr:uid="{00000000-0005-0000-0000-00006F150000}"/>
    <cellStyle name="Suma 3 12 3" xfId="6203" xr:uid="{00000000-0005-0000-0000-000070150000}"/>
    <cellStyle name="Suma 3 13" xfId="1953" xr:uid="{00000000-0005-0000-0000-000071150000}"/>
    <cellStyle name="Suma 3 13 2" xfId="4307" xr:uid="{00000000-0005-0000-0000-000072150000}"/>
    <cellStyle name="Suma 3 13 3" xfId="6204" xr:uid="{00000000-0005-0000-0000-000073150000}"/>
    <cellStyle name="Suma 3 14" xfId="1954" xr:uid="{00000000-0005-0000-0000-000074150000}"/>
    <cellStyle name="Suma 3 14 2" xfId="4308" xr:uid="{00000000-0005-0000-0000-000075150000}"/>
    <cellStyle name="Suma 3 14 3" xfId="6205" xr:uid="{00000000-0005-0000-0000-000076150000}"/>
    <cellStyle name="Suma 3 15" xfId="1955" xr:uid="{00000000-0005-0000-0000-000077150000}"/>
    <cellStyle name="Suma 3 15 2" xfId="4309" xr:uid="{00000000-0005-0000-0000-000078150000}"/>
    <cellStyle name="Suma 3 15 3" xfId="6206" xr:uid="{00000000-0005-0000-0000-000079150000}"/>
    <cellStyle name="Suma 3 16" xfId="1956" xr:uid="{00000000-0005-0000-0000-00007A150000}"/>
    <cellStyle name="Suma 3 16 2" xfId="4310" xr:uid="{00000000-0005-0000-0000-00007B150000}"/>
    <cellStyle name="Suma 3 16 3" xfId="6207" xr:uid="{00000000-0005-0000-0000-00007C150000}"/>
    <cellStyle name="Suma 3 17" xfId="1957" xr:uid="{00000000-0005-0000-0000-00007D150000}"/>
    <cellStyle name="Suma 3 17 2" xfId="4311" xr:uid="{00000000-0005-0000-0000-00007E150000}"/>
    <cellStyle name="Suma 3 17 3" xfId="6208" xr:uid="{00000000-0005-0000-0000-00007F150000}"/>
    <cellStyle name="Suma 3 18" xfId="1958" xr:uid="{00000000-0005-0000-0000-000080150000}"/>
    <cellStyle name="Suma 3 18 2" xfId="4312" xr:uid="{00000000-0005-0000-0000-000081150000}"/>
    <cellStyle name="Suma 3 18 3" xfId="6209" xr:uid="{00000000-0005-0000-0000-000082150000}"/>
    <cellStyle name="Suma 3 19" xfId="1959" xr:uid="{00000000-0005-0000-0000-000083150000}"/>
    <cellStyle name="Suma 3 19 2" xfId="4313" xr:uid="{00000000-0005-0000-0000-000084150000}"/>
    <cellStyle name="Suma 3 19 3" xfId="6210" xr:uid="{00000000-0005-0000-0000-000085150000}"/>
    <cellStyle name="Suma 3 2" xfId="1960" xr:uid="{00000000-0005-0000-0000-000086150000}"/>
    <cellStyle name="Suma 3 2 2" xfId="4314" xr:uid="{00000000-0005-0000-0000-000087150000}"/>
    <cellStyle name="Suma 3 2 3" xfId="6211" xr:uid="{00000000-0005-0000-0000-000088150000}"/>
    <cellStyle name="Suma 3 20" xfId="1961" xr:uid="{00000000-0005-0000-0000-000089150000}"/>
    <cellStyle name="Suma 3 20 2" xfId="4315" xr:uid="{00000000-0005-0000-0000-00008A150000}"/>
    <cellStyle name="Suma 3 20 3" xfId="6212" xr:uid="{00000000-0005-0000-0000-00008B150000}"/>
    <cellStyle name="Suma 3 21" xfId="1962" xr:uid="{00000000-0005-0000-0000-00008C150000}"/>
    <cellStyle name="Suma 3 21 2" xfId="4316" xr:uid="{00000000-0005-0000-0000-00008D150000}"/>
    <cellStyle name="Suma 3 21 3" xfId="6213" xr:uid="{00000000-0005-0000-0000-00008E150000}"/>
    <cellStyle name="Suma 3 22" xfId="1963" xr:uid="{00000000-0005-0000-0000-00008F150000}"/>
    <cellStyle name="Suma 3 22 2" xfId="4317" xr:uid="{00000000-0005-0000-0000-000090150000}"/>
    <cellStyle name="Suma 3 22 3" xfId="6214" xr:uid="{00000000-0005-0000-0000-000091150000}"/>
    <cellStyle name="Suma 3 23" xfId="1964" xr:uid="{00000000-0005-0000-0000-000092150000}"/>
    <cellStyle name="Suma 3 23 2" xfId="4318" xr:uid="{00000000-0005-0000-0000-000093150000}"/>
    <cellStyle name="Suma 3 23 3" xfId="6215" xr:uid="{00000000-0005-0000-0000-000094150000}"/>
    <cellStyle name="Suma 3 24" xfId="4303" xr:uid="{00000000-0005-0000-0000-000095150000}"/>
    <cellStyle name="Suma 3 25" xfId="6200" xr:uid="{00000000-0005-0000-0000-000096150000}"/>
    <cellStyle name="Suma 3 3" xfId="1965" xr:uid="{00000000-0005-0000-0000-000097150000}"/>
    <cellStyle name="Suma 3 3 2" xfId="4319" xr:uid="{00000000-0005-0000-0000-000098150000}"/>
    <cellStyle name="Suma 3 3 3" xfId="6216" xr:uid="{00000000-0005-0000-0000-000099150000}"/>
    <cellStyle name="Suma 3 4" xfId="1966" xr:uid="{00000000-0005-0000-0000-00009A150000}"/>
    <cellStyle name="Suma 3 4 2" xfId="4320" xr:uid="{00000000-0005-0000-0000-00009B150000}"/>
    <cellStyle name="Suma 3 4 3" xfId="6217" xr:uid="{00000000-0005-0000-0000-00009C150000}"/>
    <cellStyle name="Suma 3 5" xfId="1967" xr:uid="{00000000-0005-0000-0000-00009D150000}"/>
    <cellStyle name="Suma 3 5 2" xfId="4321" xr:uid="{00000000-0005-0000-0000-00009E150000}"/>
    <cellStyle name="Suma 3 5 3" xfId="6218" xr:uid="{00000000-0005-0000-0000-00009F150000}"/>
    <cellStyle name="Suma 3 6" xfId="1968" xr:uid="{00000000-0005-0000-0000-0000A0150000}"/>
    <cellStyle name="Suma 3 6 2" xfId="4322" xr:uid="{00000000-0005-0000-0000-0000A1150000}"/>
    <cellStyle name="Suma 3 6 3" xfId="6219" xr:uid="{00000000-0005-0000-0000-0000A2150000}"/>
    <cellStyle name="Suma 3 7" xfId="1969" xr:uid="{00000000-0005-0000-0000-0000A3150000}"/>
    <cellStyle name="Suma 3 7 2" xfId="4323" xr:uid="{00000000-0005-0000-0000-0000A4150000}"/>
    <cellStyle name="Suma 3 7 3" xfId="6220" xr:uid="{00000000-0005-0000-0000-0000A5150000}"/>
    <cellStyle name="Suma 3 8" xfId="1970" xr:uid="{00000000-0005-0000-0000-0000A6150000}"/>
    <cellStyle name="Suma 3 8 2" xfId="4324" xr:uid="{00000000-0005-0000-0000-0000A7150000}"/>
    <cellStyle name="Suma 3 8 3" xfId="6221" xr:uid="{00000000-0005-0000-0000-0000A8150000}"/>
    <cellStyle name="Suma 3 9" xfId="1971" xr:uid="{00000000-0005-0000-0000-0000A9150000}"/>
    <cellStyle name="Suma 3 9 2" xfId="4325" xr:uid="{00000000-0005-0000-0000-0000AA150000}"/>
    <cellStyle name="Suma 3 9 3" xfId="6222" xr:uid="{00000000-0005-0000-0000-0000AB150000}"/>
    <cellStyle name="Suma 4" xfId="1972" xr:uid="{00000000-0005-0000-0000-0000AC150000}"/>
    <cellStyle name="Suma 4 2" xfId="4326" xr:uid="{00000000-0005-0000-0000-0000AD150000}"/>
    <cellStyle name="Suma 4 3" xfId="6223" xr:uid="{00000000-0005-0000-0000-0000AE150000}"/>
    <cellStyle name="Suma 5" xfId="1973" xr:uid="{00000000-0005-0000-0000-0000AF150000}"/>
    <cellStyle name="Suma 5 2" xfId="4327" xr:uid="{00000000-0005-0000-0000-0000B0150000}"/>
    <cellStyle name="Suma 5 3" xfId="6224" xr:uid="{00000000-0005-0000-0000-0000B1150000}"/>
    <cellStyle name="Suma 6" xfId="1974" xr:uid="{00000000-0005-0000-0000-0000B2150000}"/>
    <cellStyle name="Suma 6 2" xfId="4328" xr:uid="{00000000-0005-0000-0000-0000B3150000}"/>
    <cellStyle name="Suma 6 3" xfId="6225" xr:uid="{00000000-0005-0000-0000-0000B4150000}"/>
    <cellStyle name="Suma 7" xfId="1975" xr:uid="{00000000-0005-0000-0000-0000B5150000}"/>
    <cellStyle name="Suma 7 2" xfId="4329" xr:uid="{00000000-0005-0000-0000-0000B6150000}"/>
    <cellStyle name="Suma 7 3" xfId="6226" xr:uid="{00000000-0005-0000-0000-0000B7150000}"/>
    <cellStyle name="Suma 8" xfId="1976" xr:uid="{00000000-0005-0000-0000-0000B8150000}"/>
    <cellStyle name="Suma 8 2" xfId="4330" xr:uid="{00000000-0005-0000-0000-0000B9150000}"/>
    <cellStyle name="Suma 8 3" xfId="6227" xr:uid="{00000000-0005-0000-0000-0000BA150000}"/>
    <cellStyle name="Suma 9" xfId="1977" xr:uid="{00000000-0005-0000-0000-0000BB150000}"/>
    <cellStyle name="Suma 9 2" xfId="4331" xr:uid="{00000000-0005-0000-0000-0000BC150000}"/>
    <cellStyle name="Suma 9 3" xfId="6228" xr:uid="{00000000-0005-0000-0000-0000BD150000}"/>
    <cellStyle name="Tekst objaśnienia" xfId="1978" xr:uid="{00000000-0005-0000-0000-0000BE150000}"/>
    <cellStyle name="Tekst ostrzeżenia" xfId="1979" xr:uid="{00000000-0005-0000-0000-0000BF150000}"/>
    <cellStyle name="Text" xfId="1980" xr:uid="{00000000-0005-0000-0000-0000C0150000}"/>
    <cellStyle name="Title" xfId="68" builtinId="15" customBuiltin="1"/>
    <cellStyle name="Title 2" xfId="1981" xr:uid="{00000000-0005-0000-0000-0000C2150000}"/>
    <cellStyle name="Title 3" xfId="4742" xr:uid="{00000000-0005-0000-0000-0000C3150000}"/>
    <cellStyle name="Total" xfId="69" builtinId="25" customBuiltin="1"/>
    <cellStyle name="Total 2" xfId="1982" xr:uid="{00000000-0005-0000-0000-0000C5150000}"/>
    <cellStyle name="Total 2 10" xfId="1983" xr:uid="{00000000-0005-0000-0000-0000C6150000}"/>
    <cellStyle name="Total 2 10 10" xfId="1984" xr:uid="{00000000-0005-0000-0000-0000C7150000}"/>
    <cellStyle name="Total 2 10 10 2" xfId="4334" xr:uid="{00000000-0005-0000-0000-0000C8150000}"/>
    <cellStyle name="Total 2 10 10 3" xfId="6231" xr:uid="{00000000-0005-0000-0000-0000C9150000}"/>
    <cellStyle name="Total 2 10 11" xfId="1985" xr:uid="{00000000-0005-0000-0000-0000CA150000}"/>
    <cellStyle name="Total 2 10 11 2" xfId="4335" xr:uid="{00000000-0005-0000-0000-0000CB150000}"/>
    <cellStyle name="Total 2 10 11 3" xfId="6232" xr:uid="{00000000-0005-0000-0000-0000CC150000}"/>
    <cellStyle name="Total 2 10 12" xfId="1986" xr:uid="{00000000-0005-0000-0000-0000CD150000}"/>
    <cellStyle name="Total 2 10 12 2" xfId="4336" xr:uid="{00000000-0005-0000-0000-0000CE150000}"/>
    <cellStyle name="Total 2 10 12 3" xfId="6233" xr:uid="{00000000-0005-0000-0000-0000CF150000}"/>
    <cellStyle name="Total 2 10 13" xfId="1987" xr:uid="{00000000-0005-0000-0000-0000D0150000}"/>
    <cellStyle name="Total 2 10 13 2" xfId="4337" xr:uid="{00000000-0005-0000-0000-0000D1150000}"/>
    <cellStyle name="Total 2 10 13 3" xfId="6234" xr:uid="{00000000-0005-0000-0000-0000D2150000}"/>
    <cellStyle name="Total 2 10 14" xfId="1988" xr:uid="{00000000-0005-0000-0000-0000D3150000}"/>
    <cellStyle name="Total 2 10 14 2" xfId="4338" xr:uid="{00000000-0005-0000-0000-0000D4150000}"/>
    <cellStyle name="Total 2 10 14 3" xfId="6235" xr:uid="{00000000-0005-0000-0000-0000D5150000}"/>
    <cellStyle name="Total 2 10 15" xfId="1989" xr:uid="{00000000-0005-0000-0000-0000D6150000}"/>
    <cellStyle name="Total 2 10 15 2" xfId="4339" xr:uid="{00000000-0005-0000-0000-0000D7150000}"/>
    <cellStyle name="Total 2 10 15 3" xfId="6236" xr:uid="{00000000-0005-0000-0000-0000D8150000}"/>
    <cellStyle name="Total 2 10 16" xfId="1990" xr:uid="{00000000-0005-0000-0000-0000D9150000}"/>
    <cellStyle name="Total 2 10 16 2" xfId="4340" xr:uid="{00000000-0005-0000-0000-0000DA150000}"/>
    <cellStyle name="Total 2 10 16 3" xfId="6237" xr:uid="{00000000-0005-0000-0000-0000DB150000}"/>
    <cellStyle name="Total 2 10 17" xfId="1991" xr:uid="{00000000-0005-0000-0000-0000DC150000}"/>
    <cellStyle name="Total 2 10 17 2" xfId="4341" xr:uid="{00000000-0005-0000-0000-0000DD150000}"/>
    <cellStyle name="Total 2 10 17 3" xfId="6238" xr:uid="{00000000-0005-0000-0000-0000DE150000}"/>
    <cellStyle name="Total 2 10 18" xfId="1992" xr:uid="{00000000-0005-0000-0000-0000DF150000}"/>
    <cellStyle name="Total 2 10 18 2" xfId="4342" xr:uid="{00000000-0005-0000-0000-0000E0150000}"/>
    <cellStyle name="Total 2 10 18 3" xfId="6239" xr:uid="{00000000-0005-0000-0000-0000E1150000}"/>
    <cellStyle name="Total 2 10 19" xfId="1993" xr:uid="{00000000-0005-0000-0000-0000E2150000}"/>
    <cellStyle name="Total 2 10 19 2" xfId="4343" xr:uid="{00000000-0005-0000-0000-0000E3150000}"/>
    <cellStyle name="Total 2 10 19 3" xfId="6240" xr:uid="{00000000-0005-0000-0000-0000E4150000}"/>
    <cellStyle name="Total 2 10 2" xfId="1994" xr:uid="{00000000-0005-0000-0000-0000E5150000}"/>
    <cellStyle name="Total 2 10 2 2" xfId="4344" xr:uid="{00000000-0005-0000-0000-0000E6150000}"/>
    <cellStyle name="Total 2 10 2 3" xfId="6241" xr:uid="{00000000-0005-0000-0000-0000E7150000}"/>
    <cellStyle name="Total 2 10 20" xfId="1995" xr:uid="{00000000-0005-0000-0000-0000E8150000}"/>
    <cellStyle name="Total 2 10 20 2" xfId="4345" xr:uid="{00000000-0005-0000-0000-0000E9150000}"/>
    <cellStyle name="Total 2 10 20 3" xfId="6242" xr:uid="{00000000-0005-0000-0000-0000EA150000}"/>
    <cellStyle name="Total 2 10 21" xfId="1996" xr:uid="{00000000-0005-0000-0000-0000EB150000}"/>
    <cellStyle name="Total 2 10 21 2" xfId="4346" xr:uid="{00000000-0005-0000-0000-0000EC150000}"/>
    <cellStyle name="Total 2 10 21 3" xfId="6243" xr:uid="{00000000-0005-0000-0000-0000ED150000}"/>
    <cellStyle name="Total 2 10 22" xfId="1997" xr:uid="{00000000-0005-0000-0000-0000EE150000}"/>
    <cellStyle name="Total 2 10 22 2" xfId="4347" xr:uid="{00000000-0005-0000-0000-0000EF150000}"/>
    <cellStyle name="Total 2 10 22 3" xfId="6244" xr:uid="{00000000-0005-0000-0000-0000F0150000}"/>
    <cellStyle name="Total 2 10 23" xfId="1998" xr:uid="{00000000-0005-0000-0000-0000F1150000}"/>
    <cellStyle name="Total 2 10 23 2" xfId="4348" xr:uid="{00000000-0005-0000-0000-0000F2150000}"/>
    <cellStyle name="Total 2 10 23 3" xfId="6245" xr:uid="{00000000-0005-0000-0000-0000F3150000}"/>
    <cellStyle name="Total 2 10 24" xfId="4333" xr:uid="{00000000-0005-0000-0000-0000F4150000}"/>
    <cellStyle name="Total 2 10 25" xfId="6230" xr:uid="{00000000-0005-0000-0000-0000F5150000}"/>
    <cellStyle name="Total 2 10 3" xfId="1999" xr:uid="{00000000-0005-0000-0000-0000F6150000}"/>
    <cellStyle name="Total 2 10 3 2" xfId="4349" xr:uid="{00000000-0005-0000-0000-0000F7150000}"/>
    <cellStyle name="Total 2 10 3 3" xfId="6246" xr:uid="{00000000-0005-0000-0000-0000F8150000}"/>
    <cellStyle name="Total 2 10 4" xfId="2000" xr:uid="{00000000-0005-0000-0000-0000F9150000}"/>
    <cellStyle name="Total 2 10 4 2" xfId="4350" xr:uid="{00000000-0005-0000-0000-0000FA150000}"/>
    <cellStyle name="Total 2 10 4 3" xfId="6247" xr:uid="{00000000-0005-0000-0000-0000FB150000}"/>
    <cellStyle name="Total 2 10 5" xfId="2001" xr:uid="{00000000-0005-0000-0000-0000FC150000}"/>
    <cellStyle name="Total 2 10 5 2" xfId="4351" xr:uid="{00000000-0005-0000-0000-0000FD150000}"/>
    <cellStyle name="Total 2 10 5 3" xfId="6248" xr:uid="{00000000-0005-0000-0000-0000FE150000}"/>
    <cellStyle name="Total 2 10 6" xfId="2002" xr:uid="{00000000-0005-0000-0000-0000FF150000}"/>
    <cellStyle name="Total 2 10 6 2" xfId="4352" xr:uid="{00000000-0005-0000-0000-000000160000}"/>
    <cellStyle name="Total 2 10 6 3" xfId="6249" xr:uid="{00000000-0005-0000-0000-000001160000}"/>
    <cellStyle name="Total 2 10 7" xfId="2003" xr:uid="{00000000-0005-0000-0000-000002160000}"/>
    <cellStyle name="Total 2 10 7 2" xfId="4353" xr:uid="{00000000-0005-0000-0000-000003160000}"/>
    <cellStyle name="Total 2 10 7 3" xfId="6250" xr:uid="{00000000-0005-0000-0000-000004160000}"/>
    <cellStyle name="Total 2 10 8" xfId="2004" xr:uid="{00000000-0005-0000-0000-000005160000}"/>
    <cellStyle name="Total 2 10 8 2" xfId="4354" xr:uid="{00000000-0005-0000-0000-000006160000}"/>
    <cellStyle name="Total 2 10 8 3" xfId="6251" xr:uid="{00000000-0005-0000-0000-000007160000}"/>
    <cellStyle name="Total 2 10 9" xfId="2005" xr:uid="{00000000-0005-0000-0000-000008160000}"/>
    <cellStyle name="Total 2 10 9 2" xfId="4355" xr:uid="{00000000-0005-0000-0000-000009160000}"/>
    <cellStyle name="Total 2 10 9 3" xfId="6252" xr:uid="{00000000-0005-0000-0000-00000A160000}"/>
    <cellStyle name="Total 2 11" xfId="2006" xr:uid="{00000000-0005-0000-0000-00000B160000}"/>
    <cellStyle name="Total 2 11 10" xfId="2007" xr:uid="{00000000-0005-0000-0000-00000C160000}"/>
    <cellStyle name="Total 2 11 10 2" xfId="4357" xr:uid="{00000000-0005-0000-0000-00000D160000}"/>
    <cellStyle name="Total 2 11 10 3" xfId="6254" xr:uid="{00000000-0005-0000-0000-00000E160000}"/>
    <cellStyle name="Total 2 11 11" xfId="2008" xr:uid="{00000000-0005-0000-0000-00000F160000}"/>
    <cellStyle name="Total 2 11 11 2" xfId="4358" xr:uid="{00000000-0005-0000-0000-000010160000}"/>
    <cellStyle name="Total 2 11 11 3" xfId="6255" xr:uid="{00000000-0005-0000-0000-000011160000}"/>
    <cellStyle name="Total 2 11 12" xfId="2009" xr:uid="{00000000-0005-0000-0000-000012160000}"/>
    <cellStyle name="Total 2 11 12 2" xfId="4359" xr:uid="{00000000-0005-0000-0000-000013160000}"/>
    <cellStyle name="Total 2 11 12 3" xfId="6256" xr:uid="{00000000-0005-0000-0000-000014160000}"/>
    <cellStyle name="Total 2 11 13" xfId="2010" xr:uid="{00000000-0005-0000-0000-000015160000}"/>
    <cellStyle name="Total 2 11 13 2" xfId="4360" xr:uid="{00000000-0005-0000-0000-000016160000}"/>
    <cellStyle name="Total 2 11 13 3" xfId="6257" xr:uid="{00000000-0005-0000-0000-000017160000}"/>
    <cellStyle name="Total 2 11 14" xfId="2011" xr:uid="{00000000-0005-0000-0000-000018160000}"/>
    <cellStyle name="Total 2 11 14 2" xfId="4361" xr:uid="{00000000-0005-0000-0000-000019160000}"/>
    <cellStyle name="Total 2 11 14 3" xfId="6258" xr:uid="{00000000-0005-0000-0000-00001A160000}"/>
    <cellStyle name="Total 2 11 15" xfId="2012" xr:uid="{00000000-0005-0000-0000-00001B160000}"/>
    <cellStyle name="Total 2 11 15 2" xfId="4362" xr:uid="{00000000-0005-0000-0000-00001C160000}"/>
    <cellStyle name="Total 2 11 15 3" xfId="6259" xr:uid="{00000000-0005-0000-0000-00001D160000}"/>
    <cellStyle name="Total 2 11 16" xfId="2013" xr:uid="{00000000-0005-0000-0000-00001E160000}"/>
    <cellStyle name="Total 2 11 16 2" xfId="4363" xr:uid="{00000000-0005-0000-0000-00001F160000}"/>
    <cellStyle name="Total 2 11 16 3" xfId="6260" xr:uid="{00000000-0005-0000-0000-000020160000}"/>
    <cellStyle name="Total 2 11 17" xfId="2014" xr:uid="{00000000-0005-0000-0000-000021160000}"/>
    <cellStyle name="Total 2 11 17 2" xfId="4364" xr:uid="{00000000-0005-0000-0000-000022160000}"/>
    <cellStyle name="Total 2 11 17 3" xfId="6261" xr:uid="{00000000-0005-0000-0000-000023160000}"/>
    <cellStyle name="Total 2 11 18" xfId="2015" xr:uid="{00000000-0005-0000-0000-000024160000}"/>
    <cellStyle name="Total 2 11 18 2" xfId="4365" xr:uid="{00000000-0005-0000-0000-000025160000}"/>
    <cellStyle name="Total 2 11 18 3" xfId="6262" xr:uid="{00000000-0005-0000-0000-000026160000}"/>
    <cellStyle name="Total 2 11 19" xfId="2016" xr:uid="{00000000-0005-0000-0000-000027160000}"/>
    <cellStyle name="Total 2 11 19 2" xfId="4366" xr:uid="{00000000-0005-0000-0000-000028160000}"/>
    <cellStyle name="Total 2 11 19 3" xfId="6263" xr:uid="{00000000-0005-0000-0000-000029160000}"/>
    <cellStyle name="Total 2 11 2" xfId="2017" xr:uid="{00000000-0005-0000-0000-00002A160000}"/>
    <cellStyle name="Total 2 11 2 2" xfId="4367" xr:uid="{00000000-0005-0000-0000-00002B160000}"/>
    <cellStyle name="Total 2 11 2 3" xfId="6264" xr:uid="{00000000-0005-0000-0000-00002C160000}"/>
    <cellStyle name="Total 2 11 20" xfId="2018" xr:uid="{00000000-0005-0000-0000-00002D160000}"/>
    <cellStyle name="Total 2 11 20 2" xfId="4368" xr:uid="{00000000-0005-0000-0000-00002E160000}"/>
    <cellStyle name="Total 2 11 20 3" xfId="6265" xr:uid="{00000000-0005-0000-0000-00002F160000}"/>
    <cellStyle name="Total 2 11 21" xfId="2019" xr:uid="{00000000-0005-0000-0000-000030160000}"/>
    <cellStyle name="Total 2 11 21 2" xfId="4369" xr:uid="{00000000-0005-0000-0000-000031160000}"/>
    <cellStyle name="Total 2 11 21 3" xfId="6266" xr:uid="{00000000-0005-0000-0000-000032160000}"/>
    <cellStyle name="Total 2 11 22" xfId="2020" xr:uid="{00000000-0005-0000-0000-000033160000}"/>
    <cellStyle name="Total 2 11 22 2" xfId="4370" xr:uid="{00000000-0005-0000-0000-000034160000}"/>
    <cellStyle name="Total 2 11 22 3" xfId="6267" xr:uid="{00000000-0005-0000-0000-000035160000}"/>
    <cellStyle name="Total 2 11 23" xfId="2021" xr:uid="{00000000-0005-0000-0000-000036160000}"/>
    <cellStyle name="Total 2 11 23 2" xfId="4371" xr:uid="{00000000-0005-0000-0000-000037160000}"/>
    <cellStyle name="Total 2 11 23 3" xfId="6268" xr:uid="{00000000-0005-0000-0000-000038160000}"/>
    <cellStyle name="Total 2 11 24" xfId="4356" xr:uid="{00000000-0005-0000-0000-000039160000}"/>
    <cellStyle name="Total 2 11 25" xfId="6253" xr:uid="{00000000-0005-0000-0000-00003A160000}"/>
    <cellStyle name="Total 2 11 3" xfId="2022" xr:uid="{00000000-0005-0000-0000-00003B160000}"/>
    <cellStyle name="Total 2 11 3 2" xfId="4372" xr:uid="{00000000-0005-0000-0000-00003C160000}"/>
    <cellStyle name="Total 2 11 3 3" xfId="6269" xr:uid="{00000000-0005-0000-0000-00003D160000}"/>
    <cellStyle name="Total 2 11 4" xfId="2023" xr:uid="{00000000-0005-0000-0000-00003E160000}"/>
    <cellStyle name="Total 2 11 4 2" xfId="4373" xr:uid="{00000000-0005-0000-0000-00003F160000}"/>
    <cellStyle name="Total 2 11 4 3" xfId="6270" xr:uid="{00000000-0005-0000-0000-000040160000}"/>
    <cellStyle name="Total 2 11 5" xfId="2024" xr:uid="{00000000-0005-0000-0000-000041160000}"/>
    <cellStyle name="Total 2 11 5 2" xfId="4374" xr:uid="{00000000-0005-0000-0000-000042160000}"/>
    <cellStyle name="Total 2 11 5 3" xfId="6271" xr:uid="{00000000-0005-0000-0000-000043160000}"/>
    <cellStyle name="Total 2 11 6" xfId="2025" xr:uid="{00000000-0005-0000-0000-000044160000}"/>
    <cellStyle name="Total 2 11 6 2" xfId="4375" xr:uid="{00000000-0005-0000-0000-000045160000}"/>
    <cellStyle name="Total 2 11 6 3" xfId="6272" xr:uid="{00000000-0005-0000-0000-000046160000}"/>
    <cellStyle name="Total 2 11 7" xfId="2026" xr:uid="{00000000-0005-0000-0000-000047160000}"/>
    <cellStyle name="Total 2 11 7 2" xfId="4376" xr:uid="{00000000-0005-0000-0000-000048160000}"/>
    <cellStyle name="Total 2 11 7 3" xfId="6273" xr:uid="{00000000-0005-0000-0000-000049160000}"/>
    <cellStyle name="Total 2 11 8" xfId="2027" xr:uid="{00000000-0005-0000-0000-00004A160000}"/>
    <cellStyle name="Total 2 11 8 2" xfId="4377" xr:uid="{00000000-0005-0000-0000-00004B160000}"/>
    <cellStyle name="Total 2 11 8 3" xfId="6274" xr:uid="{00000000-0005-0000-0000-00004C160000}"/>
    <cellStyle name="Total 2 11 9" xfId="2028" xr:uid="{00000000-0005-0000-0000-00004D160000}"/>
    <cellStyle name="Total 2 11 9 2" xfId="4378" xr:uid="{00000000-0005-0000-0000-00004E160000}"/>
    <cellStyle name="Total 2 11 9 3" xfId="6275" xr:uid="{00000000-0005-0000-0000-00004F160000}"/>
    <cellStyle name="Total 2 12" xfId="2029" xr:uid="{00000000-0005-0000-0000-000050160000}"/>
    <cellStyle name="Total 2 12 10" xfId="2030" xr:uid="{00000000-0005-0000-0000-000051160000}"/>
    <cellStyle name="Total 2 12 10 2" xfId="4380" xr:uid="{00000000-0005-0000-0000-000052160000}"/>
    <cellStyle name="Total 2 12 10 3" xfId="6277" xr:uid="{00000000-0005-0000-0000-000053160000}"/>
    <cellStyle name="Total 2 12 11" xfId="2031" xr:uid="{00000000-0005-0000-0000-000054160000}"/>
    <cellStyle name="Total 2 12 11 2" xfId="4381" xr:uid="{00000000-0005-0000-0000-000055160000}"/>
    <cellStyle name="Total 2 12 11 3" xfId="6278" xr:uid="{00000000-0005-0000-0000-000056160000}"/>
    <cellStyle name="Total 2 12 12" xfId="2032" xr:uid="{00000000-0005-0000-0000-000057160000}"/>
    <cellStyle name="Total 2 12 12 2" xfId="4382" xr:uid="{00000000-0005-0000-0000-000058160000}"/>
    <cellStyle name="Total 2 12 12 3" xfId="6279" xr:uid="{00000000-0005-0000-0000-000059160000}"/>
    <cellStyle name="Total 2 12 13" xfId="2033" xr:uid="{00000000-0005-0000-0000-00005A160000}"/>
    <cellStyle name="Total 2 12 13 2" xfId="4383" xr:uid="{00000000-0005-0000-0000-00005B160000}"/>
    <cellStyle name="Total 2 12 13 3" xfId="6280" xr:uid="{00000000-0005-0000-0000-00005C160000}"/>
    <cellStyle name="Total 2 12 14" xfId="2034" xr:uid="{00000000-0005-0000-0000-00005D160000}"/>
    <cellStyle name="Total 2 12 14 2" xfId="4384" xr:uid="{00000000-0005-0000-0000-00005E160000}"/>
    <cellStyle name="Total 2 12 14 3" xfId="6281" xr:uid="{00000000-0005-0000-0000-00005F160000}"/>
    <cellStyle name="Total 2 12 15" xfId="2035" xr:uid="{00000000-0005-0000-0000-000060160000}"/>
    <cellStyle name="Total 2 12 15 2" xfId="4385" xr:uid="{00000000-0005-0000-0000-000061160000}"/>
    <cellStyle name="Total 2 12 15 3" xfId="6282" xr:uid="{00000000-0005-0000-0000-000062160000}"/>
    <cellStyle name="Total 2 12 16" xfId="2036" xr:uid="{00000000-0005-0000-0000-000063160000}"/>
    <cellStyle name="Total 2 12 16 2" xfId="4386" xr:uid="{00000000-0005-0000-0000-000064160000}"/>
    <cellStyle name="Total 2 12 16 3" xfId="6283" xr:uid="{00000000-0005-0000-0000-000065160000}"/>
    <cellStyle name="Total 2 12 17" xfId="2037" xr:uid="{00000000-0005-0000-0000-000066160000}"/>
    <cellStyle name="Total 2 12 17 2" xfId="4387" xr:uid="{00000000-0005-0000-0000-000067160000}"/>
    <cellStyle name="Total 2 12 17 3" xfId="6284" xr:uid="{00000000-0005-0000-0000-000068160000}"/>
    <cellStyle name="Total 2 12 18" xfId="2038" xr:uid="{00000000-0005-0000-0000-000069160000}"/>
    <cellStyle name="Total 2 12 18 2" xfId="4388" xr:uid="{00000000-0005-0000-0000-00006A160000}"/>
    <cellStyle name="Total 2 12 18 3" xfId="6285" xr:uid="{00000000-0005-0000-0000-00006B160000}"/>
    <cellStyle name="Total 2 12 19" xfId="2039" xr:uid="{00000000-0005-0000-0000-00006C160000}"/>
    <cellStyle name="Total 2 12 19 2" xfId="4389" xr:uid="{00000000-0005-0000-0000-00006D160000}"/>
    <cellStyle name="Total 2 12 19 3" xfId="6286" xr:uid="{00000000-0005-0000-0000-00006E160000}"/>
    <cellStyle name="Total 2 12 2" xfId="2040" xr:uid="{00000000-0005-0000-0000-00006F160000}"/>
    <cellStyle name="Total 2 12 2 2" xfId="4390" xr:uid="{00000000-0005-0000-0000-000070160000}"/>
    <cellStyle name="Total 2 12 2 3" xfId="6287" xr:uid="{00000000-0005-0000-0000-000071160000}"/>
    <cellStyle name="Total 2 12 20" xfId="2041" xr:uid="{00000000-0005-0000-0000-000072160000}"/>
    <cellStyle name="Total 2 12 20 2" xfId="4391" xr:uid="{00000000-0005-0000-0000-000073160000}"/>
    <cellStyle name="Total 2 12 20 3" xfId="6288" xr:uid="{00000000-0005-0000-0000-000074160000}"/>
    <cellStyle name="Total 2 12 21" xfId="2042" xr:uid="{00000000-0005-0000-0000-000075160000}"/>
    <cellStyle name="Total 2 12 21 2" xfId="4392" xr:uid="{00000000-0005-0000-0000-000076160000}"/>
    <cellStyle name="Total 2 12 21 3" xfId="6289" xr:uid="{00000000-0005-0000-0000-000077160000}"/>
    <cellStyle name="Total 2 12 22" xfId="2043" xr:uid="{00000000-0005-0000-0000-000078160000}"/>
    <cellStyle name="Total 2 12 22 2" xfId="4393" xr:uid="{00000000-0005-0000-0000-000079160000}"/>
    <cellStyle name="Total 2 12 22 3" xfId="6290" xr:uid="{00000000-0005-0000-0000-00007A160000}"/>
    <cellStyle name="Total 2 12 23" xfId="2044" xr:uid="{00000000-0005-0000-0000-00007B160000}"/>
    <cellStyle name="Total 2 12 23 2" xfId="4394" xr:uid="{00000000-0005-0000-0000-00007C160000}"/>
    <cellStyle name="Total 2 12 23 3" xfId="6291" xr:uid="{00000000-0005-0000-0000-00007D160000}"/>
    <cellStyle name="Total 2 12 24" xfId="4379" xr:uid="{00000000-0005-0000-0000-00007E160000}"/>
    <cellStyle name="Total 2 12 25" xfId="6276" xr:uid="{00000000-0005-0000-0000-00007F160000}"/>
    <cellStyle name="Total 2 12 3" xfId="2045" xr:uid="{00000000-0005-0000-0000-000080160000}"/>
    <cellStyle name="Total 2 12 3 2" xfId="4395" xr:uid="{00000000-0005-0000-0000-000081160000}"/>
    <cellStyle name="Total 2 12 3 3" xfId="6292" xr:uid="{00000000-0005-0000-0000-000082160000}"/>
    <cellStyle name="Total 2 12 4" xfId="2046" xr:uid="{00000000-0005-0000-0000-000083160000}"/>
    <cellStyle name="Total 2 12 4 2" xfId="4396" xr:uid="{00000000-0005-0000-0000-000084160000}"/>
    <cellStyle name="Total 2 12 4 3" xfId="6293" xr:uid="{00000000-0005-0000-0000-000085160000}"/>
    <cellStyle name="Total 2 12 5" xfId="2047" xr:uid="{00000000-0005-0000-0000-000086160000}"/>
    <cellStyle name="Total 2 12 5 2" xfId="4397" xr:uid="{00000000-0005-0000-0000-000087160000}"/>
    <cellStyle name="Total 2 12 5 3" xfId="6294" xr:uid="{00000000-0005-0000-0000-000088160000}"/>
    <cellStyle name="Total 2 12 6" xfId="2048" xr:uid="{00000000-0005-0000-0000-000089160000}"/>
    <cellStyle name="Total 2 12 6 2" xfId="4398" xr:uid="{00000000-0005-0000-0000-00008A160000}"/>
    <cellStyle name="Total 2 12 6 3" xfId="6295" xr:uid="{00000000-0005-0000-0000-00008B160000}"/>
    <cellStyle name="Total 2 12 7" xfId="2049" xr:uid="{00000000-0005-0000-0000-00008C160000}"/>
    <cellStyle name="Total 2 12 7 2" xfId="4399" xr:uid="{00000000-0005-0000-0000-00008D160000}"/>
    <cellStyle name="Total 2 12 7 3" xfId="6296" xr:uid="{00000000-0005-0000-0000-00008E160000}"/>
    <cellStyle name="Total 2 12 8" xfId="2050" xr:uid="{00000000-0005-0000-0000-00008F160000}"/>
    <cellStyle name="Total 2 12 8 2" xfId="4400" xr:uid="{00000000-0005-0000-0000-000090160000}"/>
    <cellStyle name="Total 2 12 8 3" xfId="6297" xr:uid="{00000000-0005-0000-0000-000091160000}"/>
    <cellStyle name="Total 2 12 9" xfId="2051" xr:uid="{00000000-0005-0000-0000-000092160000}"/>
    <cellStyle name="Total 2 12 9 2" xfId="4401" xr:uid="{00000000-0005-0000-0000-000093160000}"/>
    <cellStyle name="Total 2 12 9 3" xfId="6298" xr:uid="{00000000-0005-0000-0000-000094160000}"/>
    <cellStyle name="Total 2 13" xfId="2052" xr:uid="{00000000-0005-0000-0000-000095160000}"/>
    <cellStyle name="Total 2 13 10" xfId="2053" xr:uid="{00000000-0005-0000-0000-000096160000}"/>
    <cellStyle name="Total 2 13 10 2" xfId="4403" xr:uid="{00000000-0005-0000-0000-000097160000}"/>
    <cellStyle name="Total 2 13 10 3" xfId="6300" xr:uid="{00000000-0005-0000-0000-000098160000}"/>
    <cellStyle name="Total 2 13 11" xfId="2054" xr:uid="{00000000-0005-0000-0000-000099160000}"/>
    <cellStyle name="Total 2 13 11 2" xfId="4404" xr:uid="{00000000-0005-0000-0000-00009A160000}"/>
    <cellStyle name="Total 2 13 11 3" xfId="6301" xr:uid="{00000000-0005-0000-0000-00009B160000}"/>
    <cellStyle name="Total 2 13 12" xfId="2055" xr:uid="{00000000-0005-0000-0000-00009C160000}"/>
    <cellStyle name="Total 2 13 12 2" xfId="4405" xr:uid="{00000000-0005-0000-0000-00009D160000}"/>
    <cellStyle name="Total 2 13 12 3" xfId="6302" xr:uid="{00000000-0005-0000-0000-00009E160000}"/>
    <cellStyle name="Total 2 13 13" xfId="2056" xr:uid="{00000000-0005-0000-0000-00009F160000}"/>
    <cellStyle name="Total 2 13 13 2" xfId="4406" xr:uid="{00000000-0005-0000-0000-0000A0160000}"/>
    <cellStyle name="Total 2 13 13 3" xfId="6303" xr:uid="{00000000-0005-0000-0000-0000A1160000}"/>
    <cellStyle name="Total 2 13 14" xfId="2057" xr:uid="{00000000-0005-0000-0000-0000A2160000}"/>
    <cellStyle name="Total 2 13 14 2" xfId="4407" xr:uid="{00000000-0005-0000-0000-0000A3160000}"/>
    <cellStyle name="Total 2 13 14 3" xfId="6304" xr:uid="{00000000-0005-0000-0000-0000A4160000}"/>
    <cellStyle name="Total 2 13 15" xfId="2058" xr:uid="{00000000-0005-0000-0000-0000A5160000}"/>
    <cellStyle name="Total 2 13 15 2" xfId="4408" xr:uid="{00000000-0005-0000-0000-0000A6160000}"/>
    <cellStyle name="Total 2 13 15 3" xfId="6305" xr:uid="{00000000-0005-0000-0000-0000A7160000}"/>
    <cellStyle name="Total 2 13 16" xfId="2059" xr:uid="{00000000-0005-0000-0000-0000A8160000}"/>
    <cellStyle name="Total 2 13 16 2" xfId="4409" xr:uid="{00000000-0005-0000-0000-0000A9160000}"/>
    <cellStyle name="Total 2 13 16 3" xfId="6306" xr:uid="{00000000-0005-0000-0000-0000AA160000}"/>
    <cellStyle name="Total 2 13 17" xfId="2060" xr:uid="{00000000-0005-0000-0000-0000AB160000}"/>
    <cellStyle name="Total 2 13 17 2" xfId="4410" xr:uid="{00000000-0005-0000-0000-0000AC160000}"/>
    <cellStyle name="Total 2 13 17 3" xfId="6307" xr:uid="{00000000-0005-0000-0000-0000AD160000}"/>
    <cellStyle name="Total 2 13 18" xfId="2061" xr:uid="{00000000-0005-0000-0000-0000AE160000}"/>
    <cellStyle name="Total 2 13 18 2" xfId="4411" xr:uid="{00000000-0005-0000-0000-0000AF160000}"/>
    <cellStyle name="Total 2 13 18 3" xfId="6308" xr:uid="{00000000-0005-0000-0000-0000B0160000}"/>
    <cellStyle name="Total 2 13 19" xfId="2062" xr:uid="{00000000-0005-0000-0000-0000B1160000}"/>
    <cellStyle name="Total 2 13 19 2" xfId="4412" xr:uid="{00000000-0005-0000-0000-0000B2160000}"/>
    <cellStyle name="Total 2 13 19 3" xfId="6309" xr:uid="{00000000-0005-0000-0000-0000B3160000}"/>
    <cellStyle name="Total 2 13 2" xfId="2063" xr:uid="{00000000-0005-0000-0000-0000B4160000}"/>
    <cellStyle name="Total 2 13 2 2" xfId="4413" xr:uid="{00000000-0005-0000-0000-0000B5160000}"/>
    <cellStyle name="Total 2 13 2 3" xfId="6310" xr:uid="{00000000-0005-0000-0000-0000B6160000}"/>
    <cellStyle name="Total 2 13 20" xfId="2064" xr:uid="{00000000-0005-0000-0000-0000B7160000}"/>
    <cellStyle name="Total 2 13 20 2" xfId="4414" xr:uid="{00000000-0005-0000-0000-0000B8160000}"/>
    <cellStyle name="Total 2 13 20 3" xfId="6311" xr:uid="{00000000-0005-0000-0000-0000B9160000}"/>
    <cellStyle name="Total 2 13 21" xfId="2065" xr:uid="{00000000-0005-0000-0000-0000BA160000}"/>
    <cellStyle name="Total 2 13 21 2" xfId="4415" xr:uid="{00000000-0005-0000-0000-0000BB160000}"/>
    <cellStyle name="Total 2 13 21 3" xfId="6312" xr:uid="{00000000-0005-0000-0000-0000BC160000}"/>
    <cellStyle name="Total 2 13 22" xfId="2066" xr:uid="{00000000-0005-0000-0000-0000BD160000}"/>
    <cellStyle name="Total 2 13 22 2" xfId="4416" xr:uid="{00000000-0005-0000-0000-0000BE160000}"/>
    <cellStyle name="Total 2 13 22 3" xfId="6313" xr:uid="{00000000-0005-0000-0000-0000BF160000}"/>
    <cellStyle name="Total 2 13 23" xfId="2067" xr:uid="{00000000-0005-0000-0000-0000C0160000}"/>
    <cellStyle name="Total 2 13 23 2" xfId="4417" xr:uid="{00000000-0005-0000-0000-0000C1160000}"/>
    <cellStyle name="Total 2 13 23 3" xfId="6314" xr:uid="{00000000-0005-0000-0000-0000C2160000}"/>
    <cellStyle name="Total 2 13 24" xfId="4402" xr:uid="{00000000-0005-0000-0000-0000C3160000}"/>
    <cellStyle name="Total 2 13 25" xfId="6299" xr:uid="{00000000-0005-0000-0000-0000C4160000}"/>
    <cellStyle name="Total 2 13 3" xfId="2068" xr:uid="{00000000-0005-0000-0000-0000C5160000}"/>
    <cellStyle name="Total 2 13 3 2" xfId="4418" xr:uid="{00000000-0005-0000-0000-0000C6160000}"/>
    <cellStyle name="Total 2 13 3 3" xfId="6315" xr:uid="{00000000-0005-0000-0000-0000C7160000}"/>
    <cellStyle name="Total 2 13 4" xfId="2069" xr:uid="{00000000-0005-0000-0000-0000C8160000}"/>
    <cellStyle name="Total 2 13 4 2" xfId="4419" xr:uid="{00000000-0005-0000-0000-0000C9160000}"/>
    <cellStyle name="Total 2 13 4 3" xfId="6316" xr:uid="{00000000-0005-0000-0000-0000CA160000}"/>
    <cellStyle name="Total 2 13 5" xfId="2070" xr:uid="{00000000-0005-0000-0000-0000CB160000}"/>
    <cellStyle name="Total 2 13 5 2" xfId="4420" xr:uid="{00000000-0005-0000-0000-0000CC160000}"/>
    <cellStyle name="Total 2 13 5 3" xfId="6317" xr:uid="{00000000-0005-0000-0000-0000CD160000}"/>
    <cellStyle name="Total 2 13 6" xfId="2071" xr:uid="{00000000-0005-0000-0000-0000CE160000}"/>
    <cellStyle name="Total 2 13 6 2" xfId="4421" xr:uid="{00000000-0005-0000-0000-0000CF160000}"/>
    <cellStyle name="Total 2 13 6 3" xfId="6318" xr:uid="{00000000-0005-0000-0000-0000D0160000}"/>
    <cellStyle name="Total 2 13 7" xfId="2072" xr:uid="{00000000-0005-0000-0000-0000D1160000}"/>
    <cellStyle name="Total 2 13 7 2" xfId="4422" xr:uid="{00000000-0005-0000-0000-0000D2160000}"/>
    <cellStyle name="Total 2 13 7 3" xfId="6319" xr:uid="{00000000-0005-0000-0000-0000D3160000}"/>
    <cellStyle name="Total 2 13 8" xfId="2073" xr:uid="{00000000-0005-0000-0000-0000D4160000}"/>
    <cellStyle name="Total 2 13 8 2" xfId="4423" xr:uid="{00000000-0005-0000-0000-0000D5160000}"/>
    <cellStyle name="Total 2 13 8 3" xfId="6320" xr:uid="{00000000-0005-0000-0000-0000D6160000}"/>
    <cellStyle name="Total 2 13 9" xfId="2074" xr:uid="{00000000-0005-0000-0000-0000D7160000}"/>
    <cellStyle name="Total 2 13 9 2" xfId="4424" xr:uid="{00000000-0005-0000-0000-0000D8160000}"/>
    <cellStyle name="Total 2 13 9 3" xfId="6321" xr:uid="{00000000-0005-0000-0000-0000D9160000}"/>
    <cellStyle name="Total 2 14" xfId="2075" xr:uid="{00000000-0005-0000-0000-0000DA160000}"/>
    <cellStyle name="Total 2 14 10" xfId="2076" xr:uid="{00000000-0005-0000-0000-0000DB160000}"/>
    <cellStyle name="Total 2 14 10 2" xfId="4426" xr:uid="{00000000-0005-0000-0000-0000DC160000}"/>
    <cellStyle name="Total 2 14 10 3" xfId="6323" xr:uid="{00000000-0005-0000-0000-0000DD160000}"/>
    <cellStyle name="Total 2 14 11" xfId="2077" xr:uid="{00000000-0005-0000-0000-0000DE160000}"/>
    <cellStyle name="Total 2 14 11 2" xfId="4427" xr:uid="{00000000-0005-0000-0000-0000DF160000}"/>
    <cellStyle name="Total 2 14 11 3" xfId="6324" xr:uid="{00000000-0005-0000-0000-0000E0160000}"/>
    <cellStyle name="Total 2 14 12" xfId="2078" xr:uid="{00000000-0005-0000-0000-0000E1160000}"/>
    <cellStyle name="Total 2 14 12 2" xfId="4428" xr:uid="{00000000-0005-0000-0000-0000E2160000}"/>
    <cellStyle name="Total 2 14 12 3" xfId="6325" xr:uid="{00000000-0005-0000-0000-0000E3160000}"/>
    <cellStyle name="Total 2 14 13" xfId="2079" xr:uid="{00000000-0005-0000-0000-0000E4160000}"/>
    <cellStyle name="Total 2 14 13 2" xfId="4429" xr:uid="{00000000-0005-0000-0000-0000E5160000}"/>
    <cellStyle name="Total 2 14 13 3" xfId="6326" xr:uid="{00000000-0005-0000-0000-0000E6160000}"/>
    <cellStyle name="Total 2 14 14" xfId="2080" xr:uid="{00000000-0005-0000-0000-0000E7160000}"/>
    <cellStyle name="Total 2 14 14 2" xfId="4430" xr:uid="{00000000-0005-0000-0000-0000E8160000}"/>
    <cellStyle name="Total 2 14 14 3" xfId="6327" xr:uid="{00000000-0005-0000-0000-0000E9160000}"/>
    <cellStyle name="Total 2 14 15" xfId="2081" xr:uid="{00000000-0005-0000-0000-0000EA160000}"/>
    <cellStyle name="Total 2 14 15 2" xfId="4431" xr:uid="{00000000-0005-0000-0000-0000EB160000}"/>
    <cellStyle name="Total 2 14 15 3" xfId="6328" xr:uid="{00000000-0005-0000-0000-0000EC160000}"/>
    <cellStyle name="Total 2 14 16" xfId="2082" xr:uid="{00000000-0005-0000-0000-0000ED160000}"/>
    <cellStyle name="Total 2 14 16 2" xfId="4432" xr:uid="{00000000-0005-0000-0000-0000EE160000}"/>
    <cellStyle name="Total 2 14 16 3" xfId="6329" xr:uid="{00000000-0005-0000-0000-0000EF160000}"/>
    <cellStyle name="Total 2 14 17" xfId="2083" xr:uid="{00000000-0005-0000-0000-0000F0160000}"/>
    <cellStyle name="Total 2 14 17 2" xfId="4433" xr:uid="{00000000-0005-0000-0000-0000F1160000}"/>
    <cellStyle name="Total 2 14 17 3" xfId="6330" xr:uid="{00000000-0005-0000-0000-0000F2160000}"/>
    <cellStyle name="Total 2 14 18" xfId="2084" xr:uid="{00000000-0005-0000-0000-0000F3160000}"/>
    <cellStyle name="Total 2 14 18 2" xfId="4434" xr:uid="{00000000-0005-0000-0000-0000F4160000}"/>
    <cellStyle name="Total 2 14 18 3" xfId="6331" xr:uid="{00000000-0005-0000-0000-0000F5160000}"/>
    <cellStyle name="Total 2 14 19" xfId="2085" xr:uid="{00000000-0005-0000-0000-0000F6160000}"/>
    <cellStyle name="Total 2 14 19 2" xfId="4435" xr:uid="{00000000-0005-0000-0000-0000F7160000}"/>
    <cellStyle name="Total 2 14 19 3" xfId="6332" xr:uid="{00000000-0005-0000-0000-0000F8160000}"/>
    <cellStyle name="Total 2 14 2" xfId="2086" xr:uid="{00000000-0005-0000-0000-0000F9160000}"/>
    <cellStyle name="Total 2 14 2 2" xfId="4436" xr:uid="{00000000-0005-0000-0000-0000FA160000}"/>
    <cellStyle name="Total 2 14 2 3" xfId="6333" xr:uid="{00000000-0005-0000-0000-0000FB160000}"/>
    <cellStyle name="Total 2 14 20" xfId="2087" xr:uid="{00000000-0005-0000-0000-0000FC160000}"/>
    <cellStyle name="Total 2 14 20 2" xfId="4437" xr:uid="{00000000-0005-0000-0000-0000FD160000}"/>
    <cellStyle name="Total 2 14 20 3" xfId="6334" xr:uid="{00000000-0005-0000-0000-0000FE160000}"/>
    <cellStyle name="Total 2 14 21" xfId="2088" xr:uid="{00000000-0005-0000-0000-0000FF160000}"/>
    <cellStyle name="Total 2 14 21 2" xfId="4438" xr:uid="{00000000-0005-0000-0000-000000170000}"/>
    <cellStyle name="Total 2 14 21 3" xfId="6335" xr:uid="{00000000-0005-0000-0000-000001170000}"/>
    <cellStyle name="Total 2 14 22" xfId="2089" xr:uid="{00000000-0005-0000-0000-000002170000}"/>
    <cellStyle name="Total 2 14 22 2" xfId="4439" xr:uid="{00000000-0005-0000-0000-000003170000}"/>
    <cellStyle name="Total 2 14 22 3" xfId="6336" xr:uid="{00000000-0005-0000-0000-000004170000}"/>
    <cellStyle name="Total 2 14 23" xfId="2090" xr:uid="{00000000-0005-0000-0000-000005170000}"/>
    <cellStyle name="Total 2 14 23 2" xfId="4440" xr:uid="{00000000-0005-0000-0000-000006170000}"/>
    <cellStyle name="Total 2 14 23 3" xfId="6337" xr:uid="{00000000-0005-0000-0000-000007170000}"/>
    <cellStyle name="Total 2 14 24" xfId="4425" xr:uid="{00000000-0005-0000-0000-000008170000}"/>
    <cellStyle name="Total 2 14 25" xfId="6322" xr:uid="{00000000-0005-0000-0000-000009170000}"/>
    <cellStyle name="Total 2 14 3" xfId="2091" xr:uid="{00000000-0005-0000-0000-00000A170000}"/>
    <cellStyle name="Total 2 14 3 2" xfId="4441" xr:uid="{00000000-0005-0000-0000-00000B170000}"/>
    <cellStyle name="Total 2 14 3 3" xfId="6338" xr:uid="{00000000-0005-0000-0000-00000C170000}"/>
    <cellStyle name="Total 2 14 4" xfId="2092" xr:uid="{00000000-0005-0000-0000-00000D170000}"/>
    <cellStyle name="Total 2 14 4 2" xfId="4442" xr:uid="{00000000-0005-0000-0000-00000E170000}"/>
    <cellStyle name="Total 2 14 4 3" xfId="6339" xr:uid="{00000000-0005-0000-0000-00000F170000}"/>
    <cellStyle name="Total 2 14 5" xfId="2093" xr:uid="{00000000-0005-0000-0000-000010170000}"/>
    <cellStyle name="Total 2 14 5 2" xfId="4443" xr:uid="{00000000-0005-0000-0000-000011170000}"/>
    <cellStyle name="Total 2 14 5 3" xfId="6340" xr:uid="{00000000-0005-0000-0000-000012170000}"/>
    <cellStyle name="Total 2 14 6" xfId="2094" xr:uid="{00000000-0005-0000-0000-000013170000}"/>
    <cellStyle name="Total 2 14 6 2" xfId="4444" xr:uid="{00000000-0005-0000-0000-000014170000}"/>
    <cellStyle name="Total 2 14 6 3" xfId="6341" xr:uid="{00000000-0005-0000-0000-000015170000}"/>
    <cellStyle name="Total 2 14 7" xfId="2095" xr:uid="{00000000-0005-0000-0000-000016170000}"/>
    <cellStyle name="Total 2 14 7 2" xfId="4445" xr:uid="{00000000-0005-0000-0000-000017170000}"/>
    <cellStyle name="Total 2 14 7 3" xfId="6342" xr:uid="{00000000-0005-0000-0000-000018170000}"/>
    <cellStyle name="Total 2 14 8" xfId="2096" xr:uid="{00000000-0005-0000-0000-000019170000}"/>
    <cellStyle name="Total 2 14 8 2" xfId="4446" xr:uid="{00000000-0005-0000-0000-00001A170000}"/>
    <cellStyle name="Total 2 14 8 3" xfId="6343" xr:uid="{00000000-0005-0000-0000-00001B170000}"/>
    <cellStyle name="Total 2 14 9" xfId="2097" xr:uid="{00000000-0005-0000-0000-00001C170000}"/>
    <cellStyle name="Total 2 14 9 2" xfId="4447" xr:uid="{00000000-0005-0000-0000-00001D170000}"/>
    <cellStyle name="Total 2 14 9 3" xfId="6344" xr:uid="{00000000-0005-0000-0000-00001E170000}"/>
    <cellStyle name="Total 2 15" xfId="2098" xr:uid="{00000000-0005-0000-0000-00001F170000}"/>
    <cellStyle name="Total 2 15 2" xfId="4448" xr:uid="{00000000-0005-0000-0000-000020170000}"/>
    <cellStyle name="Total 2 15 3" xfId="6345" xr:uid="{00000000-0005-0000-0000-000021170000}"/>
    <cellStyle name="Total 2 16" xfId="2099" xr:uid="{00000000-0005-0000-0000-000022170000}"/>
    <cellStyle name="Total 2 16 2" xfId="4449" xr:uid="{00000000-0005-0000-0000-000023170000}"/>
    <cellStyle name="Total 2 16 3" xfId="6346" xr:uid="{00000000-0005-0000-0000-000024170000}"/>
    <cellStyle name="Total 2 17" xfId="2100" xr:uid="{00000000-0005-0000-0000-000025170000}"/>
    <cellStyle name="Total 2 17 2" xfId="4450" xr:uid="{00000000-0005-0000-0000-000026170000}"/>
    <cellStyle name="Total 2 17 3" xfId="6347" xr:uid="{00000000-0005-0000-0000-000027170000}"/>
    <cellStyle name="Total 2 18" xfId="2101" xr:uid="{00000000-0005-0000-0000-000028170000}"/>
    <cellStyle name="Total 2 18 2" xfId="4451" xr:uid="{00000000-0005-0000-0000-000029170000}"/>
    <cellStyle name="Total 2 18 3" xfId="6348" xr:uid="{00000000-0005-0000-0000-00002A170000}"/>
    <cellStyle name="Total 2 19" xfId="2102" xr:uid="{00000000-0005-0000-0000-00002B170000}"/>
    <cellStyle name="Total 2 19 2" xfId="4452" xr:uid="{00000000-0005-0000-0000-00002C170000}"/>
    <cellStyle name="Total 2 19 3" xfId="6349" xr:uid="{00000000-0005-0000-0000-00002D170000}"/>
    <cellStyle name="Total 2 2" xfId="2103" xr:uid="{00000000-0005-0000-0000-00002E170000}"/>
    <cellStyle name="Total 2 2 10" xfId="2104" xr:uid="{00000000-0005-0000-0000-00002F170000}"/>
    <cellStyle name="Total 2 2 10 2" xfId="4454" xr:uid="{00000000-0005-0000-0000-000030170000}"/>
    <cellStyle name="Total 2 2 10 3" xfId="6351" xr:uid="{00000000-0005-0000-0000-000031170000}"/>
    <cellStyle name="Total 2 2 11" xfId="2105" xr:uid="{00000000-0005-0000-0000-000032170000}"/>
    <cellStyle name="Total 2 2 11 2" xfId="4455" xr:uid="{00000000-0005-0000-0000-000033170000}"/>
    <cellStyle name="Total 2 2 11 3" xfId="6352" xr:uid="{00000000-0005-0000-0000-000034170000}"/>
    <cellStyle name="Total 2 2 12" xfId="2106" xr:uid="{00000000-0005-0000-0000-000035170000}"/>
    <cellStyle name="Total 2 2 12 2" xfId="4456" xr:uid="{00000000-0005-0000-0000-000036170000}"/>
    <cellStyle name="Total 2 2 12 3" xfId="6353" xr:uid="{00000000-0005-0000-0000-000037170000}"/>
    <cellStyle name="Total 2 2 13" xfId="2107" xr:uid="{00000000-0005-0000-0000-000038170000}"/>
    <cellStyle name="Total 2 2 13 2" xfId="4457" xr:uid="{00000000-0005-0000-0000-000039170000}"/>
    <cellStyle name="Total 2 2 13 3" xfId="6354" xr:uid="{00000000-0005-0000-0000-00003A170000}"/>
    <cellStyle name="Total 2 2 14" xfId="2108" xr:uid="{00000000-0005-0000-0000-00003B170000}"/>
    <cellStyle name="Total 2 2 14 2" xfId="4458" xr:uid="{00000000-0005-0000-0000-00003C170000}"/>
    <cellStyle name="Total 2 2 14 3" xfId="6355" xr:uid="{00000000-0005-0000-0000-00003D170000}"/>
    <cellStyle name="Total 2 2 15" xfId="2109" xr:uid="{00000000-0005-0000-0000-00003E170000}"/>
    <cellStyle name="Total 2 2 15 2" xfId="4459" xr:uid="{00000000-0005-0000-0000-00003F170000}"/>
    <cellStyle name="Total 2 2 15 3" xfId="6356" xr:uid="{00000000-0005-0000-0000-000040170000}"/>
    <cellStyle name="Total 2 2 16" xfId="2110" xr:uid="{00000000-0005-0000-0000-000041170000}"/>
    <cellStyle name="Total 2 2 16 2" xfId="4460" xr:uid="{00000000-0005-0000-0000-000042170000}"/>
    <cellStyle name="Total 2 2 16 3" xfId="6357" xr:uid="{00000000-0005-0000-0000-000043170000}"/>
    <cellStyle name="Total 2 2 17" xfId="2111" xr:uid="{00000000-0005-0000-0000-000044170000}"/>
    <cellStyle name="Total 2 2 17 2" xfId="4461" xr:uid="{00000000-0005-0000-0000-000045170000}"/>
    <cellStyle name="Total 2 2 17 3" xfId="6358" xr:uid="{00000000-0005-0000-0000-000046170000}"/>
    <cellStyle name="Total 2 2 18" xfId="2112" xr:uid="{00000000-0005-0000-0000-000047170000}"/>
    <cellStyle name="Total 2 2 18 2" xfId="4462" xr:uid="{00000000-0005-0000-0000-000048170000}"/>
    <cellStyle name="Total 2 2 18 3" xfId="6359" xr:uid="{00000000-0005-0000-0000-000049170000}"/>
    <cellStyle name="Total 2 2 19" xfId="2113" xr:uid="{00000000-0005-0000-0000-00004A170000}"/>
    <cellStyle name="Total 2 2 19 2" xfId="4463" xr:uid="{00000000-0005-0000-0000-00004B170000}"/>
    <cellStyle name="Total 2 2 19 3" xfId="6360" xr:uid="{00000000-0005-0000-0000-00004C170000}"/>
    <cellStyle name="Total 2 2 2" xfId="2114" xr:uid="{00000000-0005-0000-0000-00004D170000}"/>
    <cellStyle name="Total 2 2 2 2" xfId="4464" xr:uid="{00000000-0005-0000-0000-00004E170000}"/>
    <cellStyle name="Total 2 2 2 3" xfId="6361" xr:uid="{00000000-0005-0000-0000-00004F170000}"/>
    <cellStyle name="Total 2 2 20" xfId="2115" xr:uid="{00000000-0005-0000-0000-000050170000}"/>
    <cellStyle name="Total 2 2 20 2" xfId="4465" xr:uid="{00000000-0005-0000-0000-000051170000}"/>
    <cellStyle name="Total 2 2 20 3" xfId="6362" xr:uid="{00000000-0005-0000-0000-000052170000}"/>
    <cellStyle name="Total 2 2 21" xfId="2116" xr:uid="{00000000-0005-0000-0000-000053170000}"/>
    <cellStyle name="Total 2 2 21 2" xfId="4466" xr:uid="{00000000-0005-0000-0000-000054170000}"/>
    <cellStyle name="Total 2 2 21 3" xfId="6363" xr:uid="{00000000-0005-0000-0000-000055170000}"/>
    <cellStyle name="Total 2 2 22" xfId="2117" xr:uid="{00000000-0005-0000-0000-000056170000}"/>
    <cellStyle name="Total 2 2 22 2" xfId="4467" xr:uid="{00000000-0005-0000-0000-000057170000}"/>
    <cellStyle name="Total 2 2 22 3" xfId="6364" xr:uid="{00000000-0005-0000-0000-000058170000}"/>
    <cellStyle name="Total 2 2 23" xfId="2118" xr:uid="{00000000-0005-0000-0000-000059170000}"/>
    <cellStyle name="Total 2 2 23 2" xfId="4468" xr:uid="{00000000-0005-0000-0000-00005A170000}"/>
    <cellStyle name="Total 2 2 23 3" xfId="6365" xr:uid="{00000000-0005-0000-0000-00005B170000}"/>
    <cellStyle name="Total 2 2 24" xfId="4453" xr:uid="{00000000-0005-0000-0000-00005C170000}"/>
    <cellStyle name="Total 2 2 25" xfId="6350" xr:uid="{00000000-0005-0000-0000-00005D170000}"/>
    <cellStyle name="Total 2 2 3" xfId="2119" xr:uid="{00000000-0005-0000-0000-00005E170000}"/>
    <cellStyle name="Total 2 2 3 2" xfId="4469" xr:uid="{00000000-0005-0000-0000-00005F170000}"/>
    <cellStyle name="Total 2 2 3 3" xfId="6366" xr:uid="{00000000-0005-0000-0000-000060170000}"/>
    <cellStyle name="Total 2 2 4" xfId="2120" xr:uid="{00000000-0005-0000-0000-000061170000}"/>
    <cellStyle name="Total 2 2 4 2" xfId="4470" xr:uid="{00000000-0005-0000-0000-000062170000}"/>
    <cellStyle name="Total 2 2 4 3" xfId="6367" xr:uid="{00000000-0005-0000-0000-000063170000}"/>
    <cellStyle name="Total 2 2 5" xfId="2121" xr:uid="{00000000-0005-0000-0000-000064170000}"/>
    <cellStyle name="Total 2 2 5 2" xfId="4471" xr:uid="{00000000-0005-0000-0000-000065170000}"/>
    <cellStyle name="Total 2 2 5 3" xfId="6368" xr:uid="{00000000-0005-0000-0000-000066170000}"/>
    <cellStyle name="Total 2 2 6" xfId="2122" xr:uid="{00000000-0005-0000-0000-000067170000}"/>
    <cellStyle name="Total 2 2 6 2" xfId="4472" xr:uid="{00000000-0005-0000-0000-000068170000}"/>
    <cellStyle name="Total 2 2 6 3" xfId="6369" xr:uid="{00000000-0005-0000-0000-000069170000}"/>
    <cellStyle name="Total 2 2 7" xfId="2123" xr:uid="{00000000-0005-0000-0000-00006A170000}"/>
    <cellStyle name="Total 2 2 7 2" xfId="4473" xr:uid="{00000000-0005-0000-0000-00006B170000}"/>
    <cellStyle name="Total 2 2 7 3" xfId="6370" xr:uid="{00000000-0005-0000-0000-00006C170000}"/>
    <cellStyle name="Total 2 2 8" xfId="2124" xr:uid="{00000000-0005-0000-0000-00006D170000}"/>
    <cellStyle name="Total 2 2 8 2" xfId="4474" xr:uid="{00000000-0005-0000-0000-00006E170000}"/>
    <cellStyle name="Total 2 2 8 3" xfId="6371" xr:uid="{00000000-0005-0000-0000-00006F170000}"/>
    <cellStyle name="Total 2 2 9" xfId="2125" xr:uid="{00000000-0005-0000-0000-000070170000}"/>
    <cellStyle name="Total 2 2 9 2" xfId="4475" xr:uid="{00000000-0005-0000-0000-000071170000}"/>
    <cellStyle name="Total 2 2 9 3" xfId="6372" xr:uid="{00000000-0005-0000-0000-000072170000}"/>
    <cellStyle name="Total 2 20" xfId="2126" xr:uid="{00000000-0005-0000-0000-000073170000}"/>
    <cellStyle name="Total 2 20 2" xfId="4476" xr:uid="{00000000-0005-0000-0000-000074170000}"/>
    <cellStyle name="Total 2 20 3" xfId="6373" xr:uid="{00000000-0005-0000-0000-000075170000}"/>
    <cellStyle name="Total 2 21" xfId="2127" xr:uid="{00000000-0005-0000-0000-000076170000}"/>
    <cellStyle name="Total 2 21 2" xfId="4477" xr:uid="{00000000-0005-0000-0000-000077170000}"/>
    <cellStyle name="Total 2 21 3" xfId="6374" xr:uid="{00000000-0005-0000-0000-000078170000}"/>
    <cellStyle name="Total 2 22" xfId="2128" xr:uid="{00000000-0005-0000-0000-000079170000}"/>
    <cellStyle name="Total 2 22 2" xfId="4478" xr:uid="{00000000-0005-0000-0000-00007A170000}"/>
    <cellStyle name="Total 2 22 3" xfId="6375" xr:uid="{00000000-0005-0000-0000-00007B170000}"/>
    <cellStyle name="Total 2 23" xfId="2129" xr:uid="{00000000-0005-0000-0000-00007C170000}"/>
    <cellStyle name="Total 2 23 2" xfId="4479" xr:uid="{00000000-0005-0000-0000-00007D170000}"/>
    <cellStyle name="Total 2 23 3" xfId="6376" xr:uid="{00000000-0005-0000-0000-00007E170000}"/>
    <cellStyle name="Total 2 24" xfId="2130" xr:uid="{00000000-0005-0000-0000-00007F170000}"/>
    <cellStyle name="Total 2 24 2" xfId="4480" xr:uid="{00000000-0005-0000-0000-000080170000}"/>
    <cellStyle name="Total 2 24 3" xfId="6377" xr:uid="{00000000-0005-0000-0000-000081170000}"/>
    <cellStyle name="Total 2 25" xfId="2131" xr:uid="{00000000-0005-0000-0000-000082170000}"/>
    <cellStyle name="Total 2 25 2" xfId="4481" xr:uid="{00000000-0005-0000-0000-000083170000}"/>
    <cellStyle name="Total 2 25 3" xfId="6378" xr:uid="{00000000-0005-0000-0000-000084170000}"/>
    <cellStyle name="Total 2 26" xfId="2132" xr:uid="{00000000-0005-0000-0000-000085170000}"/>
    <cellStyle name="Total 2 26 2" xfId="4482" xr:uid="{00000000-0005-0000-0000-000086170000}"/>
    <cellStyle name="Total 2 26 3" xfId="6379" xr:uid="{00000000-0005-0000-0000-000087170000}"/>
    <cellStyle name="Total 2 27" xfId="2133" xr:uid="{00000000-0005-0000-0000-000088170000}"/>
    <cellStyle name="Total 2 27 2" xfId="4483" xr:uid="{00000000-0005-0000-0000-000089170000}"/>
    <cellStyle name="Total 2 27 3" xfId="6380" xr:uid="{00000000-0005-0000-0000-00008A170000}"/>
    <cellStyle name="Total 2 28" xfId="2134" xr:uid="{00000000-0005-0000-0000-00008B170000}"/>
    <cellStyle name="Total 2 28 2" xfId="4484" xr:uid="{00000000-0005-0000-0000-00008C170000}"/>
    <cellStyle name="Total 2 28 3" xfId="6381" xr:uid="{00000000-0005-0000-0000-00008D170000}"/>
    <cellStyle name="Total 2 29" xfId="2135" xr:uid="{00000000-0005-0000-0000-00008E170000}"/>
    <cellStyle name="Total 2 29 2" xfId="4485" xr:uid="{00000000-0005-0000-0000-00008F170000}"/>
    <cellStyle name="Total 2 29 3" xfId="6382" xr:uid="{00000000-0005-0000-0000-000090170000}"/>
    <cellStyle name="Total 2 3" xfId="2136" xr:uid="{00000000-0005-0000-0000-000091170000}"/>
    <cellStyle name="Total 2 3 10" xfId="2137" xr:uid="{00000000-0005-0000-0000-000092170000}"/>
    <cellStyle name="Total 2 3 10 2" xfId="4487" xr:uid="{00000000-0005-0000-0000-000093170000}"/>
    <cellStyle name="Total 2 3 10 3" xfId="6384" xr:uid="{00000000-0005-0000-0000-000094170000}"/>
    <cellStyle name="Total 2 3 11" xfId="2138" xr:uid="{00000000-0005-0000-0000-000095170000}"/>
    <cellStyle name="Total 2 3 11 2" xfId="4488" xr:uid="{00000000-0005-0000-0000-000096170000}"/>
    <cellStyle name="Total 2 3 11 3" xfId="6385" xr:uid="{00000000-0005-0000-0000-000097170000}"/>
    <cellStyle name="Total 2 3 12" xfId="2139" xr:uid="{00000000-0005-0000-0000-000098170000}"/>
    <cellStyle name="Total 2 3 12 2" xfId="4489" xr:uid="{00000000-0005-0000-0000-000099170000}"/>
    <cellStyle name="Total 2 3 12 3" xfId="6386" xr:uid="{00000000-0005-0000-0000-00009A170000}"/>
    <cellStyle name="Total 2 3 13" xfId="2140" xr:uid="{00000000-0005-0000-0000-00009B170000}"/>
    <cellStyle name="Total 2 3 13 2" xfId="4490" xr:uid="{00000000-0005-0000-0000-00009C170000}"/>
    <cellStyle name="Total 2 3 13 3" xfId="6387" xr:uid="{00000000-0005-0000-0000-00009D170000}"/>
    <cellStyle name="Total 2 3 14" xfId="2141" xr:uid="{00000000-0005-0000-0000-00009E170000}"/>
    <cellStyle name="Total 2 3 14 2" xfId="4491" xr:uid="{00000000-0005-0000-0000-00009F170000}"/>
    <cellStyle name="Total 2 3 14 3" xfId="6388" xr:uid="{00000000-0005-0000-0000-0000A0170000}"/>
    <cellStyle name="Total 2 3 15" xfId="2142" xr:uid="{00000000-0005-0000-0000-0000A1170000}"/>
    <cellStyle name="Total 2 3 15 2" xfId="4492" xr:uid="{00000000-0005-0000-0000-0000A2170000}"/>
    <cellStyle name="Total 2 3 15 3" xfId="6389" xr:uid="{00000000-0005-0000-0000-0000A3170000}"/>
    <cellStyle name="Total 2 3 16" xfId="2143" xr:uid="{00000000-0005-0000-0000-0000A4170000}"/>
    <cellStyle name="Total 2 3 16 2" xfId="4493" xr:uid="{00000000-0005-0000-0000-0000A5170000}"/>
    <cellStyle name="Total 2 3 16 3" xfId="6390" xr:uid="{00000000-0005-0000-0000-0000A6170000}"/>
    <cellStyle name="Total 2 3 17" xfId="2144" xr:uid="{00000000-0005-0000-0000-0000A7170000}"/>
    <cellStyle name="Total 2 3 17 2" xfId="4494" xr:uid="{00000000-0005-0000-0000-0000A8170000}"/>
    <cellStyle name="Total 2 3 17 3" xfId="6391" xr:uid="{00000000-0005-0000-0000-0000A9170000}"/>
    <cellStyle name="Total 2 3 18" xfId="2145" xr:uid="{00000000-0005-0000-0000-0000AA170000}"/>
    <cellStyle name="Total 2 3 18 2" xfId="4495" xr:uid="{00000000-0005-0000-0000-0000AB170000}"/>
    <cellStyle name="Total 2 3 18 3" xfId="6392" xr:uid="{00000000-0005-0000-0000-0000AC170000}"/>
    <cellStyle name="Total 2 3 19" xfId="2146" xr:uid="{00000000-0005-0000-0000-0000AD170000}"/>
    <cellStyle name="Total 2 3 19 2" xfId="4496" xr:uid="{00000000-0005-0000-0000-0000AE170000}"/>
    <cellStyle name="Total 2 3 19 3" xfId="6393" xr:uid="{00000000-0005-0000-0000-0000AF170000}"/>
    <cellStyle name="Total 2 3 2" xfId="2147" xr:uid="{00000000-0005-0000-0000-0000B0170000}"/>
    <cellStyle name="Total 2 3 2 2" xfId="4497" xr:uid="{00000000-0005-0000-0000-0000B1170000}"/>
    <cellStyle name="Total 2 3 2 3" xfId="6394" xr:uid="{00000000-0005-0000-0000-0000B2170000}"/>
    <cellStyle name="Total 2 3 20" xfId="2148" xr:uid="{00000000-0005-0000-0000-0000B3170000}"/>
    <cellStyle name="Total 2 3 20 2" xfId="4498" xr:uid="{00000000-0005-0000-0000-0000B4170000}"/>
    <cellStyle name="Total 2 3 20 3" xfId="6395" xr:uid="{00000000-0005-0000-0000-0000B5170000}"/>
    <cellStyle name="Total 2 3 21" xfId="2149" xr:uid="{00000000-0005-0000-0000-0000B6170000}"/>
    <cellStyle name="Total 2 3 21 2" xfId="4499" xr:uid="{00000000-0005-0000-0000-0000B7170000}"/>
    <cellStyle name="Total 2 3 21 3" xfId="6396" xr:uid="{00000000-0005-0000-0000-0000B8170000}"/>
    <cellStyle name="Total 2 3 22" xfId="2150" xr:uid="{00000000-0005-0000-0000-0000B9170000}"/>
    <cellStyle name="Total 2 3 22 2" xfId="4500" xr:uid="{00000000-0005-0000-0000-0000BA170000}"/>
    <cellStyle name="Total 2 3 22 3" xfId="6397" xr:uid="{00000000-0005-0000-0000-0000BB170000}"/>
    <cellStyle name="Total 2 3 23" xfId="2151" xr:uid="{00000000-0005-0000-0000-0000BC170000}"/>
    <cellStyle name="Total 2 3 23 2" xfId="4501" xr:uid="{00000000-0005-0000-0000-0000BD170000}"/>
    <cellStyle name="Total 2 3 23 3" xfId="6398" xr:uid="{00000000-0005-0000-0000-0000BE170000}"/>
    <cellStyle name="Total 2 3 24" xfId="4486" xr:uid="{00000000-0005-0000-0000-0000BF170000}"/>
    <cellStyle name="Total 2 3 25" xfId="6383" xr:uid="{00000000-0005-0000-0000-0000C0170000}"/>
    <cellStyle name="Total 2 3 3" xfId="2152" xr:uid="{00000000-0005-0000-0000-0000C1170000}"/>
    <cellStyle name="Total 2 3 3 2" xfId="4502" xr:uid="{00000000-0005-0000-0000-0000C2170000}"/>
    <cellStyle name="Total 2 3 3 3" xfId="6399" xr:uid="{00000000-0005-0000-0000-0000C3170000}"/>
    <cellStyle name="Total 2 3 4" xfId="2153" xr:uid="{00000000-0005-0000-0000-0000C4170000}"/>
    <cellStyle name="Total 2 3 4 2" xfId="4503" xr:uid="{00000000-0005-0000-0000-0000C5170000}"/>
    <cellStyle name="Total 2 3 4 3" xfId="6400" xr:uid="{00000000-0005-0000-0000-0000C6170000}"/>
    <cellStyle name="Total 2 3 5" xfId="2154" xr:uid="{00000000-0005-0000-0000-0000C7170000}"/>
    <cellStyle name="Total 2 3 5 2" xfId="4504" xr:uid="{00000000-0005-0000-0000-0000C8170000}"/>
    <cellStyle name="Total 2 3 5 3" xfId="6401" xr:uid="{00000000-0005-0000-0000-0000C9170000}"/>
    <cellStyle name="Total 2 3 6" xfId="2155" xr:uid="{00000000-0005-0000-0000-0000CA170000}"/>
    <cellStyle name="Total 2 3 6 2" xfId="4505" xr:uid="{00000000-0005-0000-0000-0000CB170000}"/>
    <cellStyle name="Total 2 3 6 3" xfId="6402" xr:uid="{00000000-0005-0000-0000-0000CC170000}"/>
    <cellStyle name="Total 2 3 7" xfId="2156" xr:uid="{00000000-0005-0000-0000-0000CD170000}"/>
    <cellStyle name="Total 2 3 7 2" xfId="4506" xr:uid="{00000000-0005-0000-0000-0000CE170000}"/>
    <cellStyle name="Total 2 3 7 3" xfId="6403" xr:uid="{00000000-0005-0000-0000-0000CF170000}"/>
    <cellStyle name="Total 2 3 8" xfId="2157" xr:uid="{00000000-0005-0000-0000-0000D0170000}"/>
    <cellStyle name="Total 2 3 8 2" xfId="4507" xr:uid="{00000000-0005-0000-0000-0000D1170000}"/>
    <cellStyle name="Total 2 3 8 3" xfId="6404" xr:uid="{00000000-0005-0000-0000-0000D2170000}"/>
    <cellStyle name="Total 2 3 9" xfId="2158" xr:uid="{00000000-0005-0000-0000-0000D3170000}"/>
    <cellStyle name="Total 2 3 9 2" xfId="4508" xr:uid="{00000000-0005-0000-0000-0000D4170000}"/>
    <cellStyle name="Total 2 3 9 3" xfId="6405" xr:uid="{00000000-0005-0000-0000-0000D5170000}"/>
    <cellStyle name="Total 2 30" xfId="2159" xr:uid="{00000000-0005-0000-0000-0000D6170000}"/>
    <cellStyle name="Total 2 30 2" xfId="4509" xr:uid="{00000000-0005-0000-0000-0000D7170000}"/>
    <cellStyle name="Total 2 30 3" xfId="6406" xr:uid="{00000000-0005-0000-0000-0000D8170000}"/>
    <cellStyle name="Total 2 31" xfId="2160" xr:uid="{00000000-0005-0000-0000-0000D9170000}"/>
    <cellStyle name="Total 2 31 2" xfId="4510" xr:uid="{00000000-0005-0000-0000-0000DA170000}"/>
    <cellStyle name="Total 2 31 3" xfId="6407" xr:uid="{00000000-0005-0000-0000-0000DB170000}"/>
    <cellStyle name="Total 2 32" xfId="2161" xr:uid="{00000000-0005-0000-0000-0000DC170000}"/>
    <cellStyle name="Total 2 32 2" xfId="4511" xr:uid="{00000000-0005-0000-0000-0000DD170000}"/>
    <cellStyle name="Total 2 32 3" xfId="6408" xr:uid="{00000000-0005-0000-0000-0000DE170000}"/>
    <cellStyle name="Total 2 33" xfId="2162" xr:uid="{00000000-0005-0000-0000-0000DF170000}"/>
    <cellStyle name="Total 2 33 2" xfId="4512" xr:uid="{00000000-0005-0000-0000-0000E0170000}"/>
    <cellStyle name="Total 2 33 3" xfId="6409" xr:uid="{00000000-0005-0000-0000-0000E1170000}"/>
    <cellStyle name="Total 2 34" xfId="2163" xr:uid="{00000000-0005-0000-0000-0000E2170000}"/>
    <cellStyle name="Total 2 34 2" xfId="4513" xr:uid="{00000000-0005-0000-0000-0000E3170000}"/>
    <cellStyle name="Total 2 34 3" xfId="6410" xr:uid="{00000000-0005-0000-0000-0000E4170000}"/>
    <cellStyle name="Total 2 35" xfId="2164" xr:uid="{00000000-0005-0000-0000-0000E5170000}"/>
    <cellStyle name="Total 2 35 2" xfId="4514" xr:uid="{00000000-0005-0000-0000-0000E6170000}"/>
    <cellStyle name="Total 2 35 3" xfId="6411" xr:uid="{00000000-0005-0000-0000-0000E7170000}"/>
    <cellStyle name="Total 2 36" xfId="2165" xr:uid="{00000000-0005-0000-0000-0000E8170000}"/>
    <cellStyle name="Total 2 36 2" xfId="4515" xr:uid="{00000000-0005-0000-0000-0000E9170000}"/>
    <cellStyle name="Total 2 36 3" xfId="6412" xr:uid="{00000000-0005-0000-0000-0000EA170000}"/>
    <cellStyle name="Total 2 37" xfId="4332" xr:uid="{00000000-0005-0000-0000-0000EB170000}"/>
    <cellStyle name="Total 2 38" xfId="6229" xr:uid="{00000000-0005-0000-0000-0000EC170000}"/>
    <cellStyle name="Total 2 4" xfId="2166" xr:uid="{00000000-0005-0000-0000-0000ED170000}"/>
    <cellStyle name="Total 2 4 10" xfId="2167" xr:uid="{00000000-0005-0000-0000-0000EE170000}"/>
    <cellStyle name="Total 2 4 10 2" xfId="4517" xr:uid="{00000000-0005-0000-0000-0000EF170000}"/>
    <cellStyle name="Total 2 4 10 3" xfId="6414" xr:uid="{00000000-0005-0000-0000-0000F0170000}"/>
    <cellStyle name="Total 2 4 11" xfId="2168" xr:uid="{00000000-0005-0000-0000-0000F1170000}"/>
    <cellStyle name="Total 2 4 11 2" xfId="4518" xr:uid="{00000000-0005-0000-0000-0000F2170000}"/>
    <cellStyle name="Total 2 4 11 3" xfId="6415" xr:uid="{00000000-0005-0000-0000-0000F3170000}"/>
    <cellStyle name="Total 2 4 12" xfId="2169" xr:uid="{00000000-0005-0000-0000-0000F4170000}"/>
    <cellStyle name="Total 2 4 12 2" xfId="4519" xr:uid="{00000000-0005-0000-0000-0000F5170000}"/>
    <cellStyle name="Total 2 4 12 3" xfId="6416" xr:uid="{00000000-0005-0000-0000-0000F6170000}"/>
    <cellStyle name="Total 2 4 13" xfId="2170" xr:uid="{00000000-0005-0000-0000-0000F7170000}"/>
    <cellStyle name="Total 2 4 13 2" xfId="4520" xr:uid="{00000000-0005-0000-0000-0000F8170000}"/>
    <cellStyle name="Total 2 4 13 3" xfId="6417" xr:uid="{00000000-0005-0000-0000-0000F9170000}"/>
    <cellStyle name="Total 2 4 14" xfId="2171" xr:uid="{00000000-0005-0000-0000-0000FA170000}"/>
    <cellStyle name="Total 2 4 14 2" xfId="4521" xr:uid="{00000000-0005-0000-0000-0000FB170000}"/>
    <cellStyle name="Total 2 4 14 3" xfId="6418" xr:uid="{00000000-0005-0000-0000-0000FC170000}"/>
    <cellStyle name="Total 2 4 15" xfId="2172" xr:uid="{00000000-0005-0000-0000-0000FD170000}"/>
    <cellStyle name="Total 2 4 15 2" xfId="4522" xr:uid="{00000000-0005-0000-0000-0000FE170000}"/>
    <cellStyle name="Total 2 4 15 3" xfId="6419" xr:uid="{00000000-0005-0000-0000-0000FF170000}"/>
    <cellStyle name="Total 2 4 16" xfId="2173" xr:uid="{00000000-0005-0000-0000-000000180000}"/>
    <cellStyle name="Total 2 4 16 2" xfId="4523" xr:uid="{00000000-0005-0000-0000-000001180000}"/>
    <cellStyle name="Total 2 4 16 3" xfId="6420" xr:uid="{00000000-0005-0000-0000-000002180000}"/>
    <cellStyle name="Total 2 4 17" xfId="2174" xr:uid="{00000000-0005-0000-0000-000003180000}"/>
    <cellStyle name="Total 2 4 17 2" xfId="4524" xr:uid="{00000000-0005-0000-0000-000004180000}"/>
    <cellStyle name="Total 2 4 17 3" xfId="6421" xr:uid="{00000000-0005-0000-0000-000005180000}"/>
    <cellStyle name="Total 2 4 18" xfId="2175" xr:uid="{00000000-0005-0000-0000-000006180000}"/>
    <cellStyle name="Total 2 4 18 2" xfId="4525" xr:uid="{00000000-0005-0000-0000-000007180000}"/>
    <cellStyle name="Total 2 4 18 3" xfId="6422" xr:uid="{00000000-0005-0000-0000-000008180000}"/>
    <cellStyle name="Total 2 4 19" xfId="2176" xr:uid="{00000000-0005-0000-0000-000009180000}"/>
    <cellStyle name="Total 2 4 19 2" xfId="4526" xr:uid="{00000000-0005-0000-0000-00000A180000}"/>
    <cellStyle name="Total 2 4 19 3" xfId="6423" xr:uid="{00000000-0005-0000-0000-00000B180000}"/>
    <cellStyle name="Total 2 4 2" xfId="2177" xr:uid="{00000000-0005-0000-0000-00000C180000}"/>
    <cellStyle name="Total 2 4 2 2" xfId="4527" xr:uid="{00000000-0005-0000-0000-00000D180000}"/>
    <cellStyle name="Total 2 4 2 3" xfId="6424" xr:uid="{00000000-0005-0000-0000-00000E180000}"/>
    <cellStyle name="Total 2 4 20" xfId="2178" xr:uid="{00000000-0005-0000-0000-00000F180000}"/>
    <cellStyle name="Total 2 4 20 2" xfId="4528" xr:uid="{00000000-0005-0000-0000-000010180000}"/>
    <cellStyle name="Total 2 4 20 3" xfId="6425" xr:uid="{00000000-0005-0000-0000-000011180000}"/>
    <cellStyle name="Total 2 4 21" xfId="2179" xr:uid="{00000000-0005-0000-0000-000012180000}"/>
    <cellStyle name="Total 2 4 21 2" xfId="4529" xr:uid="{00000000-0005-0000-0000-000013180000}"/>
    <cellStyle name="Total 2 4 21 3" xfId="6426" xr:uid="{00000000-0005-0000-0000-000014180000}"/>
    <cellStyle name="Total 2 4 22" xfId="2180" xr:uid="{00000000-0005-0000-0000-000015180000}"/>
    <cellStyle name="Total 2 4 22 2" xfId="4530" xr:uid="{00000000-0005-0000-0000-000016180000}"/>
    <cellStyle name="Total 2 4 22 3" xfId="6427" xr:uid="{00000000-0005-0000-0000-000017180000}"/>
    <cellStyle name="Total 2 4 23" xfId="2181" xr:uid="{00000000-0005-0000-0000-000018180000}"/>
    <cellStyle name="Total 2 4 23 2" xfId="4531" xr:uid="{00000000-0005-0000-0000-000019180000}"/>
    <cellStyle name="Total 2 4 23 3" xfId="6428" xr:uid="{00000000-0005-0000-0000-00001A180000}"/>
    <cellStyle name="Total 2 4 24" xfId="4516" xr:uid="{00000000-0005-0000-0000-00001B180000}"/>
    <cellStyle name="Total 2 4 25" xfId="6413" xr:uid="{00000000-0005-0000-0000-00001C180000}"/>
    <cellStyle name="Total 2 4 3" xfId="2182" xr:uid="{00000000-0005-0000-0000-00001D180000}"/>
    <cellStyle name="Total 2 4 3 2" xfId="4532" xr:uid="{00000000-0005-0000-0000-00001E180000}"/>
    <cellStyle name="Total 2 4 3 3" xfId="6429" xr:uid="{00000000-0005-0000-0000-00001F180000}"/>
    <cellStyle name="Total 2 4 4" xfId="2183" xr:uid="{00000000-0005-0000-0000-000020180000}"/>
    <cellStyle name="Total 2 4 4 2" xfId="4533" xr:uid="{00000000-0005-0000-0000-000021180000}"/>
    <cellStyle name="Total 2 4 4 3" xfId="6430" xr:uid="{00000000-0005-0000-0000-000022180000}"/>
    <cellStyle name="Total 2 4 5" xfId="2184" xr:uid="{00000000-0005-0000-0000-000023180000}"/>
    <cellStyle name="Total 2 4 5 2" xfId="4534" xr:uid="{00000000-0005-0000-0000-000024180000}"/>
    <cellStyle name="Total 2 4 5 3" xfId="6431" xr:uid="{00000000-0005-0000-0000-000025180000}"/>
    <cellStyle name="Total 2 4 6" xfId="2185" xr:uid="{00000000-0005-0000-0000-000026180000}"/>
    <cellStyle name="Total 2 4 6 2" xfId="4535" xr:uid="{00000000-0005-0000-0000-000027180000}"/>
    <cellStyle name="Total 2 4 6 3" xfId="6432" xr:uid="{00000000-0005-0000-0000-000028180000}"/>
    <cellStyle name="Total 2 4 7" xfId="2186" xr:uid="{00000000-0005-0000-0000-000029180000}"/>
    <cellStyle name="Total 2 4 7 2" xfId="4536" xr:uid="{00000000-0005-0000-0000-00002A180000}"/>
    <cellStyle name="Total 2 4 7 3" xfId="6433" xr:uid="{00000000-0005-0000-0000-00002B180000}"/>
    <cellStyle name="Total 2 4 8" xfId="2187" xr:uid="{00000000-0005-0000-0000-00002C180000}"/>
    <cellStyle name="Total 2 4 8 2" xfId="4537" xr:uid="{00000000-0005-0000-0000-00002D180000}"/>
    <cellStyle name="Total 2 4 8 3" xfId="6434" xr:uid="{00000000-0005-0000-0000-00002E180000}"/>
    <cellStyle name="Total 2 4 9" xfId="2188" xr:uid="{00000000-0005-0000-0000-00002F180000}"/>
    <cellStyle name="Total 2 4 9 2" xfId="4538" xr:uid="{00000000-0005-0000-0000-000030180000}"/>
    <cellStyle name="Total 2 4 9 3" xfId="6435" xr:uid="{00000000-0005-0000-0000-000031180000}"/>
    <cellStyle name="Total 2 5" xfId="2189" xr:uid="{00000000-0005-0000-0000-000032180000}"/>
    <cellStyle name="Total 2 5 10" xfId="2190" xr:uid="{00000000-0005-0000-0000-000033180000}"/>
    <cellStyle name="Total 2 5 10 2" xfId="4540" xr:uid="{00000000-0005-0000-0000-000034180000}"/>
    <cellStyle name="Total 2 5 10 3" xfId="6437" xr:uid="{00000000-0005-0000-0000-000035180000}"/>
    <cellStyle name="Total 2 5 11" xfId="2191" xr:uid="{00000000-0005-0000-0000-000036180000}"/>
    <cellStyle name="Total 2 5 11 2" xfId="4541" xr:uid="{00000000-0005-0000-0000-000037180000}"/>
    <cellStyle name="Total 2 5 11 3" xfId="6438" xr:uid="{00000000-0005-0000-0000-000038180000}"/>
    <cellStyle name="Total 2 5 12" xfId="2192" xr:uid="{00000000-0005-0000-0000-000039180000}"/>
    <cellStyle name="Total 2 5 12 2" xfId="4542" xr:uid="{00000000-0005-0000-0000-00003A180000}"/>
    <cellStyle name="Total 2 5 12 3" xfId="6439" xr:uid="{00000000-0005-0000-0000-00003B180000}"/>
    <cellStyle name="Total 2 5 13" xfId="2193" xr:uid="{00000000-0005-0000-0000-00003C180000}"/>
    <cellStyle name="Total 2 5 13 2" xfId="4543" xr:uid="{00000000-0005-0000-0000-00003D180000}"/>
    <cellStyle name="Total 2 5 13 3" xfId="6440" xr:uid="{00000000-0005-0000-0000-00003E180000}"/>
    <cellStyle name="Total 2 5 14" xfId="2194" xr:uid="{00000000-0005-0000-0000-00003F180000}"/>
    <cellStyle name="Total 2 5 14 2" xfId="4544" xr:uid="{00000000-0005-0000-0000-000040180000}"/>
    <cellStyle name="Total 2 5 14 3" xfId="6441" xr:uid="{00000000-0005-0000-0000-000041180000}"/>
    <cellStyle name="Total 2 5 15" xfId="2195" xr:uid="{00000000-0005-0000-0000-000042180000}"/>
    <cellStyle name="Total 2 5 15 2" xfId="4545" xr:uid="{00000000-0005-0000-0000-000043180000}"/>
    <cellStyle name="Total 2 5 15 3" xfId="6442" xr:uid="{00000000-0005-0000-0000-000044180000}"/>
    <cellStyle name="Total 2 5 16" xfId="2196" xr:uid="{00000000-0005-0000-0000-000045180000}"/>
    <cellStyle name="Total 2 5 16 2" xfId="4546" xr:uid="{00000000-0005-0000-0000-000046180000}"/>
    <cellStyle name="Total 2 5 16 3" xfId="6443" xr:uid="{00000000-0005-0000-0000-000047180000}"/>
    <cellStyle name="Total 2 5 17" xfId="2197" xr:uid="{00000000-0005-0000-0000-000048180000}"/>
    <cellStyle name="Total 2 5 17 2" xfId="4547" xr:uid="{00000000-0005-0000-0000-000049180000}"/>
    <cellStyle name="Total 2 5 17 3" xfId="6444" xr:uid="{00000000-0005-0000-0000-00004A180000}"/>
    <cellStyle name="Total 2 5 18" xfId="2198" xr:uid="{00000000-0005-0000-0000-00004B180000}"/>
    <cellStyle name="Total 2 5 18 2" xfId="4548" xr:uid="{00000000-0005-0000-0000-00004C180000}"/>
    <cellStyle name="Total 2 5 18 3" xfId="6445" xr:uid="{00000000-0005-0000-0000-00004D180000}"/>
    <cellStyle name="Total 2 5 19" xfId="2199" xr:uid="{00000000-0005-0000-0000-00004E180000}"/>
    <cellStyle name="Total 2 5 19 2" xfId="4549" xr:uid="{00000000-0005-0000-0000-00004F180000}"/>
    <cellStyle name="Total 2 5 19 3" xfId="6446" xr:uid="{00000000-0005-0000-0000-000050180000}"/>
    <cellStyle name="Total 2 5 2" xfId="2200" xr:uid="{00000000-0005-0000-0000-000051180000}"/>
    <cellStyle name="Total 2 5 2 2" xfId="4550" xr:uid="{00000000-0005-0000-0000-000052180000}"/>
    <cellStyle name="Total 2 5 2 3" xfId="6447" xr:uid="{00000000-0005-0000-0000-000053180000}"/>
    <cellStyle name="Total 2 5 20" xfId="2201" xr:uid="{00000000-0005-0000-0000-000054180000}"/>
    <cellStyle name="Total 2 5 20 2" xfId="4551" xr:uid="{00000000-0005-0000-0000-000055180000}"/>
    <cellStyle name="Total 2 5 20 3" xfId="6448" xr:uid="{00000000-0005-0000-0000-000056180000}"/>
    <cellStyle name="Total 2 5 21" xfId="2202" xr:uid="{00000000-0005-0000-0000-000057180000}"/>
    <cellStyle name="Total 2 5 21 2" xfId="4552" xr:uid="{00000000-0005-0000-0000-000058180000}"/>
    <cellStyle name="Total 2 5 21 3" xfId="6449" xr:uid="{00000000-0005-0000-0000-000059180000}"/>
    <cellStyle name="Total 2 5 22" xfId="2203" xr:uid="{00000000-0005-0000-0000-00005A180000}"/>
    <cellStyle name="Total 2 5 22 2" xfId="4553" xr:uid="{00000000-0005-0000-0000-00005B180000}"/>
    <cellStyle name="Total 2 5 22 3" xfId="6450" xr:uid="{00000000-0005-0000-0000-00005C180000}"/>
    <cellStyle name="Total 2 5 23" xfId="2204" xr:uid="{00000000-0005-0000-0000-00005D180000}"/>
    <cellStyle name="Total 2 5 23 2" xfId="4554" xr:uid="{00000000-0005-0000-0000-00005E180000}"/>
    <cellStyle name="Total 2 5 23 3" xfId="6451" xr:uid="{00000000-0005-0000-0000-00005F180000}"/>
    <cellStyle name="Total 2 5 24" xfId="4539" xr:uid="{00000000-0005-0000-0000-000060180000}"/>
    <cellStyle name="Total 2 5 25" xfId="6436" xr:uid="{00000000-0005-0000-0000-000061180000}"/>
    <cellStyle name="Total 2 5 3" xfId="2205" xr:uid="{00000000-0005-0000-0000-000062180000}"/>
    <cellStyle name="Total 2 5 3 2" xfId="4555" xr:uid="{00000000-0005-0000-0000-000063180000}"/>
    <cellStyle name="Total 2 5 3 3" xfId="6452" xr:uid="{00000000-0005-0000-0000-000064180000}"/>
    <cellStyle name="Total 2 5 4" xfId="2206" xr:uid="{00000000-0005-0000-0000-000065180000}"/>
    <cellStyle name="Total 2 5 4 2" xfId="4556" xr:uid="{00000000-0005-0000-0000-000066180000}"/>
    <cellStyle name="Total 2 5 4 3" xfId="6453" xr:uid="{00000000-0005-0000-0000-000067180000}"/>
    <cellStyle name="Total 2 5 5" xfId="2207" xr:uid="{00000000-0005-0000-0000-000068180000}"/>
    <cellStyle name="Total 2 5 5 2" xfId="4557" xr:uid="{00000000-0005-0000-0000-000069180000}"/>
    <cellStyle name="Total 2 5 5 3" xfId="6454" xr:uid="{00000000-0005-0000-0000-00006A180000}"/>
    <cellStyle name="Total 2 5 6" xfId="2208" xr:uid="{00000000-0005-0000-0000-00006B180000}"/>
    <cellStyle name="Total 2 5 6 2" xfId="4558" xr:uid="{00000000-0005-0000-0000-00006C180000}"/>
    <cellStyle name="Total 2 5 6 3" xfId="6455" xr:uid="{00000000-0005-0000-0000-00006D180000}"/>
    <cellStyle name="Total 2 5 7" xfId="2209" xr:uid="{00000000-0005-0000-0000-00006E180000}"/>
    <cellStyle name="Total 2 5 7 2" xfId="4559" xr:uid="{00000000-0005-0000-0000-00006F180000}"/>
    <cellStyle name="Total 2 5 7 3" xfId="6456" xr:uid="{00000000-0005-0000-0000-000070180000}"/>
    <cellStyle name="Total 2 5 8" xfId="2210" xr:uid="{00000000-0005-0000-0000-000071180000}"/>
    <cellStyle name="Total 2 5 8 2" xfId="4560" xr:uid="{00000000-0005-0000-0000-000072180000}"/>
    <cellStyle name="Total 2 5 8 3" xfId="6457" xr:uid="{00000000-0005-0000-0000-000073180000}"/>
    <cellStyle name="Total 2 5 9" xfId="2211" xr:uid="{00000000-0005-0000-0000-000074180000}"/>
    <cellStyle name="Total 2 5 9 2" xfId="4561" xr:uid="{00000000-0005-0000-0000-000075180000}"/>
    <cellStyle name="Total 2 5 9 3" xfId="6458" xr:uid="{00000000-0005-0000-0000-000076180000}"/>
    <cellStyle name="Total 2 6" xfId="2212" xr:uid="{00000000-0005-0000-0000-000077180000}"/>
    <cellStyle name="Total 2 6 10" xfId="2213" xr:uid="{00000000-0005-0000-0000-000078180000}"/>
    <cellStyle name="Total 2 6 10 2" xfId="4563" xr:uid="{00000000-0005-0000-0000-000079180000}"/>
    <cellStyle name="Total 2 6 10 3" xfId="6460" xr:uid="{00000000-0005-0000-0000-00007A180000}"/>
    <cellStyle name="Total 2 6 11" xfId="2214" xr:uid="{00000000-0005-0000-0000-00007B180000}"/>
    <cellStyle name="Total 2 6 11 2" xfId="4564" xr:uid="{00000000-0005-0000-0000-00007C180000}"/>
    <cellStyle name="Total 2 6 11 3" xfId="6461" xr:uid="{00000000-0005-0000-0000-00007D180000}"/>
    <cellStyle name="Total 2 6 12" xfId="2215" xr:uid="{00000000-0005-0000-0000-00007E180000}"/>
    <cellStyle name="Total 2 6 12 2" xfId="4565" xr:uid="{00000000-0005-0000-0000-00007F180000}"/>
    <cellStyle name="Total 2 6 12 3" xfId="6462" xr:uid="{00000000-0005-0000-0000-000080180000}"/>
    <cellStyle name="Total 2 6 13" xfId="2216" xr:uid="{00000000-0005-0000-0000-000081180000}"/>
    <cellStyle name="Total 2 6 13 2" xfId="4566" xr:uid="{00000000-0005-0000-0000-000082180000}"/>
    <cellStyle name="Total 2 6 13 3" xfId="6463" xr:uid="{00000000-0005-0000-0000-000083180000}"/>
    <cellStyle name="Total 2 6 14" xfId="2217" xr:uid="{00000000-0005-0000-0000-000084180000}"/>
    <cellStyle name="Total 2 6 14 2" xfId="4567" xr:uid="{00000000-0005-0000-0000-000085180000}"/>
    <cellStyle name="Total 2 6 14 3" xfId="6464" xr:uid="{00000000-0005-0000-0000-000086180000}"/>
    <cellStyle name="Total 2 6 15" xfId="2218" xr:uid="{00000000-0005-0000-0000-000087180000}"/>
    <cellStyle name="Total 2 6 15 2" xfId="4568" xr:uid="{00000000-0005-0000-0000-000088180000}"/>
    <cellStyle name="Total 2 6 15 3" xfId="6465" xr:uid="{00000000-0005-0000-0000-000089180000}"/>
    <cellStyle name="Total 2 6 16" xfId="2219" xr:uid="{00000000-0005-0000-0000-00008A180000}"/>
    <cellStyle name="Total 2 6 16 2" xfId="4569" xr:uid="{00000000-0005-0000-0000-00008B180000}"/>
    <cellStyle name="Total 2 6 16 3" xfId="6466" xr:uid="{00000000-0005-0000-0000-00008C180000}"/>
    <cellStyle name="Total 2 6 17" xfId="2220" xr:uid="{00000000-0005-0000-0000-00008D180000}"/>
    <cellStyle name="Total 2 6 17 2" xfId="4570" xr:uid="{00000000-0005-0000-0000-00008E180000}"/>
    <cellStyle name="Total 2 6 17 3" xfId="6467" xr:uid="{00000000-0005-0000-0000-00008F180000}"/>
    <cellStyle name="Total 2 6 18" xfId="2221" xr:uid="{00000000-0005-0000-0000-000090180000}"/>
    <cellStyle name="Total 2 6 18 2" xfId="4571" xr:uid="{00000000-0005-0000-0000-000091180000}"/>
    <cellStyle name="Total 2 6 18 3" xfId="6468" xr:uid="{00000000-0005-0000-0000-000092180000}"/>
    <cellStyle name="Total 2 6 19" xfId="2222" xr:uid="{00000000-0005-0000-0000-000093180000}"/>
    <cellStyle name="Total 2 6 19 2" xfId="4572" xr:uid="{00000000-0005-0000-0000-000094180000}"/>
    <cellStyle name="Total 2 6 19 3" xfId="6469" xr:uid="{00000000-0005-0000-0000-000095180000}"/>
    <cellStyle name="Total 2 6 2" xfId="2223" xr:uid="{00000000-0005-0000-0000-000096180000}"/>
    <cellStyle name="Total 2 6 2 2" xfId="4573" xr:uid="{00000000-0005-0000-0000-000097180000}"/>
    <cellStyle name="Total 2 6 2 3" xfId="6470" xr:uid="{00000000-0005-0000-0000-000098180000}"/>
    <cellStyle name="Total 2 6 20" xfId="2224" xr:uid="{00000000-0005-0000-0000-000099180000}"/>
    <cellStyle name="Total 2 6 20 2" xfId="4574" xr:uid="{00000000-0005-0000-0000-00009A180000}"/>
    <cellStyle name="Total 2 6 20 3" xfId="6471" xr:uid="{00000000-0005-0000-0000-00009B180000}"/>
    <cellStyle name="Total 2 6 21" xfId="2225" xr:uid="{00000000-0005-0000-0000-00009C180000}"/>
    <cellStyle name="Total 2 6 21 2" xfId="4575" xr:uid="{00000000-0005-0000-0000-00009D180000}"/>
    <cellStyle name="Total 2 6 21 3" xfId="6472" xr:uid="{00000000-0005-0000-0000-00009E180000}"/>
    <cellStyle name="Total 2 6 22" xfId="2226" xr:uid="{00000000-0005-0000-0000-00009F180000}"/>
    <cellStyle name="Total 2 6 22 2" xfId="4576" xr:uid="{00000000-0005-0000-0000-0000A0180000}"/>
    <cellStyle name="Total 2 6 22 3" xfId="6473" xr:uid="{00000000-0005-0000-0000-0000A1180000}"/>
    <cellStyle name="Total 2 6 23" xfId="2227" xr:uid="{00000000-0005-0000-0000-0000A2180000}"/>
    <cellStyle name="Total 2 6 23 2" xfId="4577" xr:uid="{00000000-0005-0000-0000-0000A3180000}"/>
    <cellStyle name="Total 2 6 23 3" xfId="6474" xr:uid="{00000000-0005-0000-0000-0000A4180000}"/>
    <cellStyle name="Total 2 6 24" xfId="4562" xr:uid="{00000000-0005-0000-0000-0000A5180000}"/>
    <cellStyle name="Total 2 6 25" xfId="6459" xr:uid="{00000000-0005-0000-0000-0000A6180000}"/>
    <cellStyle name="Total 2 6 3" xfId="2228" xr:uid="{00000000-0005-0000-0000-0000A7180000}"/>
    <cellStyle name="Total 2 6 3 2" xfId="4578" xr:uid="{00000000-0005-0000-0000-0000A8180000}"/>
    <cellStyle name="Total 2 6 3 3" xfId="6475" xr:uid="{00000000-0005-0000-0000-0000A9180000}"/>
    <cellStyle name="Total 2 6 4" xfId="2229" xr:uid="{00000000-0005-0000-0000-0000AA180000}"/>
    <cellStyle name="Total 2 6 4 2" xfId="4579" xr:uid="{00000000-0005-0000-0000-0000AB180000}"/>
    <cellStyle name="Total 2 6 4 3" xfId="6476" xr:uid="{00000000-0005-0000-0000-0000AC180000}"/>
    <cellStyle name="Total 2 6 5" xfId="2230" xr:uid="{00000000-0005-0000-0000-0000AD180000}"/>
    <cellStyle name="Total 2 6 5 2" xfId="4580" xr:uid="{00000000-0005-0000-0000-0000AE180000}"/>
    <cellStyle name="Total 2 6 5 3" xfId="6477" xr:uid="{00000000-0005-0000-0000-0000AF180000}"/>
    <cellStyle name="Total 2 6 6" xfId="2231" xr:uid="{00000000-0005-0000-0000-0000B0180000}"/>
    <cellStyle name="Total 2 6 6 2" xfId="4581" xr:uid="{00000000-0005-0000-0000-0000B1180000}"/>
    <cellStyle name="Total 2 6 6 3" xfId="6478" xr:uid="{00000000-0005-0000-0000-0000B2180000}"/>
    <cellStyle name="Total 2 6 7" xfId="2232" xr:uid="{00000000-0005-0000-0000-0000B3180000}"/>
    <cellStyle name="Total 2 6 7 2" xfId="4582" xr:uid="{00000000-0005-0000-0000-0000B4180000}"/>
    <cellStyle name="Total 2 6 7 3" xfId="6479" xr:uid="{00000000-0005-0000-0000-0000B5180000}"/>
    <cellStyle name="Total 2 6 8" xfId="2233" xr:uid="{00000000-0005-0000-0000-0000B6180000}"/>
    <cellStyle name="Total 2 6 8 2" xfId="4583" xr:uid="{00000000-0005-0000-0000-0000B7180000}"/>
    <cellStyle name="Total 2 6 8 3" xfId="6480" xr:uid="{00000000-0005-0000-0000-0000B8180000}"/>
    <cellStyle name="Total 2 6 9" xfId="2234" xr:uid="{00000000-0005-0000-0000-0000B9180000}"/>
    <cellStyle name="Total 2 6 9 2" xfId="4584" xr:uid="{00000000-0005-0000-0000-0000BA180000}"/>
    <cellStyle name="Total 2 6 9 3" xfId="6481" xr:uid="{00000000-0005-0000-0000-0000BB180000}"/>
    <cellStyle name="Total 2 7" xfId="2235" xr:uid="{00000000-0005-0000-0000-0000BC180000}"/>
    <cellStyle name="Total 2 7 10" xfId="2236" xr:uid="{00000000-0005-0000-0000-0000BD180000}"/>
    <cellStyle name="Total 2 7 10 2" xfId="4586" xr:uid="{00000000-0005-0000-0000-0000BE180000}"/>
    <cellStyle name="Total 2 7 10 3" xfId="6483" xr:uid="{00000000-0005-0000-0000-0000BF180000}"/>
    <cellStyle name="Total 2 7 11" xfId="2237" xr:uid="{00000000-0005-0000-0000-0000C0180000}"/>
    <cellStyle name="Total 2 7 11 2" xfId="4587" xr:uid="{00000000-0005-0000-0000-0000C1180000}"/>
    <cellStyle name="Total 2 7 11 3" xfId="6484" xr:uid="{00000000-0005-0000-0000-0000C2180000}"/>
    <cellStyle name="Total 2 7 12" xfId="2238" xr:uid="{00000000-0005-0000-0000-0000C3180000}"/>
    <cellStyle name="Total 2 7 12 2" xfId="4588" xr:uid="{00000000-0005-0000-0000-0000C4180000}"/>
    <cellStyle name="Total 2 7 12 3" xfId="6485" xr:uid="{00000000-0005-0000-0000-0000C5180000}"/>
    <cellStyle name="Total 2 7 13" xfId="2239" xr:uid="{00000000-0005-0000-0000-0000C6180000}"/>
    <cellStyle name="Total 2 7 13 2" xfId="4589" xr:uid="{00000000-0005-0000-0000-0000C7180000}"/>
    <cellStyle name="Total 2 7 13 3" xfId="6486" xr:uid="{00000000-0005-0000-0000-0000C8180000}"/>
    <cellStyle name="Total 2 7 14" xfId="2240" xr:uid="{00000000-0005-0000-0000-0000C9180000}"/>
    <cellStyle name="Total 2 7 14 2" xfId="4590" xr:uid="{00000000-0005-0000-0000-0000CA180000}"/>
    <cellStyle name="Total 2 7 14 3" xfId="6487" xr:uid="{00000000-0005-0000-0000-0000CB180000}"/>
    <cellStyle name="Total 2 7 15" xfId="2241" xr:uid="{00000000-0005-0000-0000-0000CC180000}"/>
    <cellStyle name="Total 2 7 15 2" xfId="4591" xr:uid="{00000000-0005-0000-0000-0000CD180000}"/>
    <cellStyle name="Total 2 7 15 3" xfId="6488" xr:uid="{00000000-0005-0000-0000-0000CE180000}"/>
    <cellStyle name="Total 2 7 16" xfId="2242" xr:uid="{00000000-0005-0000-0000-0000CF180000}"/>
    <cellStyle name="Total 2 7 16 2" xfId="4592" xr:uid="{00000000-0005-0000-0000-0000D0180000}"/>
    <cellStyle name="Total 2 7 16 3" xfId="6489" xr:uid="{00000000-0005-0000-0000-0000D1180000}"/>
    <cellStyle name="Total 2 7 17" xfId="2243" xr:uid="{00000000-0005-0000-0000-0000D2180000}"/>
    <cellStyle name="Total 2 7 17 2" xfId="4593" xr:uid="{00000000-0005-0000-0000-0000D3180000}"/>
    <cellStyle name="Total 2 7 17 3" xfId="6490" xr:uid="{00000000-0005-0000-0000-0000D4180000}"/>
    <cellStyle name="Total 2 7 18" xfId="2244" xr:uid="{00000000-0005-0000-0000-0000D5180000}"/>
    <cellStyle name="Total 2 7 18 2" xfId="4594" xr:uid="{00000000-0005-0000-0000-0000D6180000}"/>
    <cellStyle name="Total 2 7 18 3" xfId="6491" xr:uid="{00000000-0005-0000-0000-0000D7180000}"/>
    <cellStyle name="Total 2 7 19" xfId="2245" xr:uid="{00000000-0005-0000-0000-0000D8180000}"/>
    <cellStyle name="Total 2 7 19 2" xfId="4595" xr:uid="{00000000-0005-0000-0000-0000D9180000}"/>
    <cellStyle name="Total 2 7 19 3" xfId="6492" xr:uid="{00000000-0005-0000-0000-0000DA180000}"/>
    <cellStyle name="Total 2 7 2" xfId="2246" xr:uid="{00000000-0005-0000-0000-0000DB180000}"/>
    <cellStyle name="Total 2 7 2 2" xfId="4596" xr:uid="{00000000-0005-0000-0000-0000DC180000}"/>
    <cellStyle name="Total 2 7 2 3" xfId="6493" xr:uid="{00000000-0005-0000-0000-0000DD180000}"/>
    <cellStyle name="Total 2 7 20" xfId="2247" xr:uid="{00000000-0005-0000-0000-0000DE180000}"/>
    <cellStyle name="Total 2 7 20 2" xfId="4597" xr:uid="{00000000-0005-0000-0000-0000DF180000}"/>
    <cellStyle name="Total 2 7 20 3" xfId="6494" xr:uid="{00000000-0005-0000-0000-0000E0180000}"/>
    <cellStyle name="Total 2 7 21" xfId="2248" xr:uid="{00000000-0005-0000-0000-0000E1180000}"/>
    <cellStyle name="Total 2 7 21 2" xfId="4598" xr:uid="{00000000-0005-0000-0000-0000E2180000}"/>
    <cellStyle name="Total 2 7 21 3" xfId="6495" xr:uid="{00000000-0005-0000-0000-0000E3180000}"/>
    <cellStyle name="Total 2 7 22" xfId="2249" xr:uid="{00000000-0005-0000-0000-0000E4180000}"/>
    <cellStyle name="Total 2 7 22 2" xfId="4599" xr:uid="{00000000-0005-0000-0000-0000E5180000}"/>
    <cellStyle name="Total 2 7 22 3" xfId="6496" xr:uid="{00000000-0005-0000-0000-0000E6180000}"/>
    <cellStyle name="Total 2 7 23" xfId="2250" xr:uid="{00000000-0005-0000-0000-0000E7180000}"/>
    <cellStyle name="Total 2 7 23 2" xfId="4600" xr:uid="{00000000-0005-0000-0000-0000E8180000}"/>
    <cellStyle name="Total 2 7 23 3" xfId="6497" xr:uid="{00000000-0005-0000-0000-0000E9180000}"/>
    <cellStyle name="Total 2 7 24" xfId="4585" xr:uid="{00000000-0005-0000-0000-0000EA180000}"/>
    <cellStyle name="Total 2 7 25" xfId="6482" xr:uid="{00000000-0005-0000-0000-0000EB180000}"/>
    <cellStyle name="Total 2 7 3" xfId="2251" xr:uid="{00000000-0005-0000-0000-0000EC180000}"/>
    <cellStyle name="Total 2 7 3 2" xfId="4601" xr:uid="{00000000-0005-0000-0000-0000ED180000}"/>
    <cellStyle name="Total 2 7 3 3" xfId="6498" xr:uid="{00000000-0005-0000-0000-0000EE180000}"/>
    <cellStyle name="Total 2 7 4" xfId="2252" xr:uid="{00000000-0005-0000-0000-0000EF180000}"/>
    <cellStyle name="Total 2 7 4 2" xfId="4602" xr:uid="{00000000-0005-0000-0000-0000F0180000}"/>
    <cellStyle name="Total 2 7 4 3" xfId="6499" xr:uid="{00000000-0005-0000-0000-0000F1180000}"/>
    <cellStyle name="Total 2 7 5" xfId="2253" xr:uid="{00000000-0005-0000-0000-0000F2180000}"/>
    <cellStyle name="Total 2 7 5 2" xfId="4603" xr:uid="{00000000-0005-0000-0000-0000F3180000}"/>
    <cellStyle name="Total 2 7 5 3" xfId="6500" xr:uid="{00000000-0005-0000-0000-0000F4180000}"/>
    <cellStyle name="Total 2 7 6" xfId="2254" xr:uid="{00000000-0005-0000-0000-0000F5180000}"/>
    <cellStyle name="Total 2 7 6 2" xfId="4604" xr:uid="{00000000-0005-0000-0000-0000F6180000}"/>
    <cellStyle name="Total 2 7 6 3" xfId="6501" xr:uid="{00000000-0005-0000-0000-0000F7180000}"/>
    <cellStyle name="Total 2 7 7" xfId="2255" xr:uid="{00000000-0005-0000-0000-0000F8180000}"/>
    <cellStyle name="Total 2 7 7 2" xfId="4605" xr:uid="{00000000-0005-0000-0000-0000F9180000}"/>
    <cellStyle name="Total 2 7 7 3" xfId="6502" xr:uid="{00000000-0005-0000-0000-0000FA180000}"/>
    <cellStyle name="Total 2 7 8" xfId="2256" xr:uid="{00000000-0005-0000-0000-0000FB180000}"/>
    <cellStyle name="Total 2 7 8 2" xfId="4606" xr:uid="{00000000-0005-0000-0000-0000FC180000}"/>
    <cellStyle name="Total 2 7 8 3" xfId="6503" xr:uid="{00000000-0005-0000-0000-0000FD180000}"/>
    <cellStyle name="Total 2 7 9" xfId="2257" xr:uid="{00000000-0005-0000-0000-0000FE180000}"/>
    <cellStyle name="Total 2 7 9 2" xfId="4607" xr:uid="{00000000-0005-0000-0000-0000FF180000}"/>
    <cellStyle name="Total 2 7 9 3" xfId="6504" xr:uid="{00000000-0005-0000-0000-000000190000}"/>
    <cellStyle name="Total 2 8" xfId="2258" xr:uid="{00000000-0005-0000-0000-000001190000}"/>
    <cellStyle name="Total 2 8 10" xfId="2259" xr:uid="{00000000-0005-0000-0000-000002190000}"/>
    <cellStyle name="Total 2 8 10 2" xfId="4609" xr:uid="{00000000-0005-0000-0000-000003190000}"/>
    <cellStyle name="Total 2 8 10 3" xfId="6506" xr:uid="{00000000-0005-0000-0000-000004190000}"/>
    <cellStyle name="Total 2 8 11" xfId="2260" xr:uid="{00000000-0005-0000-0000-000005190000}"/>
    <cellStyle name="Total 2 8 11 2" xfId="4610" xr:uid="{00000000-0005-0000-0000-000006190000}"/>
    <cellStyle name="Total 2 8 11 3" xfId="6507" xr:uid="{00000000-0005-0000-0000-000007190000}"/>
    <cellStyle name="Total 2 8 12" xfId="2261" xr:uid="{00000000-0005-0000-0000-000008190000}"/>
    <cellStyle name="Total 2 8 12 2" xfId="4611" xr:uid="{00000000-0005-0000-0000-000009190000}"/>
    <cellStyle name="Total 2 8 12 3" xfId="6508" xr:uid="{00000000-0005-0000-0000-00000A190000}"/>
    <cellStyle name="Total 2 8 13" xfId="2262" xr:uid="{00000000-0005-0000-0000-00000B190000}"/>
    <cellStyle name="Total 2 8 13 2" xfId="4612" xr:uid="{00000000-0005-0000-0000-00000C190000}"/>
    <cellStyle name="Total 2 8 13 3" xfId="6509" xr:uid="{00000000-0005-0000-0000-00000D190000}"/>
    <cellStyle name="Total 2 8 14" xfId="2263" xr:uid="{00000000-0005-0000-0000-00000E190000}"/>
    <cellStyle name="Total 2 8 14 2" xfId="4613" xr:uid="{00000000-0005-0000-0000-00000F190000}"/>
    <cellStyle name="Total 2 8 14 3" xfId="6510" xr:uid="{00000000-0005-0000-0000-000010190000}"/>
    <cellStyle name="Total 2 8 15" xfId="2264" xr:uid="{00000000-0005-0000-0000-000011190000}"/>
    <cellStyle name="Total 2 8 15 2" xfId="4614" xr:uid="{00000000-0005-0000-0000-000012190000}"/>
    <cellStyle name="Total 2 8 15 3" xfId="6511" xr:uid="{00000000-0005-0000-0000-000013190000}"/>
    <cellStyle name="Total 2 8 16" xfId="2265" xr:uid="{00000000-0005-0000-0000-000014190000}"/>
    <cellStyle name="Total 2 8 16 2" xfId="4615" xr:uid="{00000000-0005-0000-0000-000015190000}"/>
    <cellStyle name="Total 2 8 16 3" xfId="6512" xr:uid="{00000000-0005-0000-0000-000016190000}"/>
    <cellStyle name="Total 2 8 17" xfId="2266" xr:uid="{00000000-0005-0000-0000-000017190000}"/>
    <cellStyle name="Total 2 8 17 2" xfId="4616" xr:uid="{00000000-0005-0000-0000-000018190000}"/>
    <cellStyle name="Total 2 8 17 3" xfId="6513" xr:uid="{00000000-0005-0000-0000-000019190000}"/>
    <cellStyle name="Total 2 8 18" xfId="2267" xr:uid="{00000000-0005-0000-0000-00001A190000}"/>
    <cellStyle name="Total 2 8 18 2" xfId="4617" xr:uid="{00000000-0005-0000-0000-00001B190000}"/>
    <cellStyle name="Total 2 8 18 3" xfId="6514" xr:uid="{00000000-0005-0000-0000-00001C190000}"/>
    <cellStyle name="Total 2 8 19" xfId="2268" xr:uid="{00000000-0005-0000-0000-00001D190000}"/>
    <cellStyle name="Total 2 8 19 2" xfId="4618" xr:uid="{00000000-0005-0000-0000-00001E190000}"/>
    <cellStyle name="Total 2 8 19 3" xfId="6515" xr:uid="{00000000-0005-0000-0000-00001F190000}"/>
    <cellStyle name="Total 2 8 2" xfId="2269" xr:uid="{00000000-0005-0000-0000-000020190000}"/>
    <cellStyle name="Total 2 8 2 2" xfId="4619" xr:uid="{00000000-0005-0000-0000-000021190000}"/>
    <cellStyle name="Total 2 8 2 3" xfId="6516" xr:uid="{00000000-0005-0000-0000-000022190000}"/>
    <cellStyle name="Total 2 8 20" xfId="2270" xr:uid="{00000000-0005-0000-0000-000023190000}"/>
    <cellStyle name="Total 2 8 20 2" xfId="4620" xr:uid="{00000000-0005-0000-0000-000024190000}"/>
    <cellStyle name="Total 2 8 20 3" xfId="6517" xr:uid="{00000000-0005-0000-0000-000025190000}"/>
    <cellStyle name="Total 2 8 21" xfId="2271" xr:uid="{00000000-0005-0000-0000-000026190000}"/>
    <cellStyle name="Total 2 8 21 2" xfId="4621" xr:uid="{00000000-0005-0000-0000-000027190000}"/>
    <cellStyle name="Total 2 8 21 3" xfId="6518" xr:uid="{00000000-0005-0000-0000-000028190000}"/>
    <cellStyle name="Total 2 8 22" xfId="2272" xr:uid="{00000000-0005-0000-0000-000029190000}"/>
    <cellStyle name="Total 2 8 22 2" xfId="4622" xr:uid="{00000000-0005-0000-0000-00002A190000}"/>
    <cellStyle name="Total 2 8 22 3" xfId="6519" xr:uid="{00000000-0005-0000-0000-00002B190000}"/>
    <cellStyle name="Total 2 8 23" xfId="2273" xr:uid="{00000000-0005-0000-0000-00002C190000}"/>
    <cellStyle name="Total 2 8 23 2" xfId="4623" xr:uid="{00000000-0005-0000-0000-00002D190000}"/>
    <cellStyle name="Total 2 8 23 3" xfId="6520" xr:uid="{00000000-0005-0000-0000-00002E190000}"/>
    <cellStyle name="Total 2 8 24" xfId="4608" xr:uid="{00000000-0005-0000-0000-00002F190000}"/>
    <cellStyle name="Total 2 8 25" xfId="6505" xr:uid="{00000000-0005-0000-0000-000030190000}"/>
    <cellStyle name="Total 2 8 3" xfId="2274" xr:uid="{00000000-0005-0000-0000-000031190000}"/>
    <cellStyle name="Total 2 8 3 2" xfId="4624" xr:uid="{00000000-0005-0000-0000-000032190000}"/>
    <cellStyle name="Total 2 8 3 3" xfId="6521" xr:uid="{00000000-0005-0000-0000-000033190000}"/>
    <cellStyle name="Total 2 8 4" xfId="2275" xr:uid="{00000000-0005-0000-0000-000034190000}"/>
    <cellStyle name="Total 2 8 4 2" xfId="4625" xr:uid="{00000000-0005-0000-0000-000035190000}"/>
    <cellStyle name="Total 2 8 4 3" xfId="6522" xr:uid="{00000000-0005-0000-0000-000036190000}"/>
    <cellStyle name="Total 2 8 5" xfId="2276" xr:uid="{00000000-0005-0000-0000-000037190000}"/>
    <cellStyle name="Total 2 8 5 2" xfId="4626" xr:uid="{00000000-0005-0000-0000-000038190000}"/>
    <cellStyle name="Total 2 8 5 3" xfId="6523" xr:uid="{00000000-0005-0000-0000-000039190000}"/>
    <cellStyle name="Total 2 8 6" xfId="2277" xr:uid="{00000000-0005-0000-0000-00003A190000}"/>
    <cellStyle name="Total 2 8 6 2" xfId="4627" xr:uid="{00000000-0005-0000-0000-00003B190000}"/>
    <cellStyle name="Total 2 8 6 3" xfId="6524" xr:uid="{00000000-0005-0000-0000-00003C190000}"/>
    <cellStyle name="Total 2 8 7" xfId="2278" xr:uid="{00000000-0005-0000-0000-00003D190000}"/>
    <cellStyle name="Total 2 8 7 2" xfId="4628" xr:uid="{00000000-0005-0000-0000-00003E190000}"/>
    <cellStyle name="Total 2 8 7 3" xfId="6525" xr:uid="{00000000-0005-0000-0000-00003F190000}"/>
    <cellStyle name="Total 2 8 8" xfId="2279" xr:uid="{00000000-0005-0000-0000-000040190000}"/>
    <cellStyle name="Total 2 8 8 2" xfId="4629" xr:uid="{00000000-0005-0000-0000-000041190000}"/>
    <cellStyle name="Total 2 8 8 3" xfId="6526" xr:uid="{00000000-0005-0000-0000-000042190000}"/>
    <cellStyle name="Total 2 8 9" xfId="2280" xr:uid="{00000000-0005-0000-0000-000043190000}"/>
    <cellStyle name="Total 2 8 9 2" xfId="4630" xr:uid="{00000000-0005-0000-0000-000044190000}"/>
    <cellStyle name="Total 2 8 9 3" xfId="6527" xr:uid="{00000000-0005-0000-0000-000045190000}"/>
    <cellStyle name="Total 2 9" xfId="2281" xr:uid="{00000000-0005-0000-0000-000046190000}"/>
    <cellStyle name="Total 2 9 10" xfId="2282" xr:uid="{00000000-0005-0000-0000-000047190000}"/>
    <cellStyle name="Total 2 9 10 2" xfId="4632" xr:uid="{00000000-0005-0000-0000-000048190000}"/>
    <cellStyle name="Total 2 9 10 3" xfId="6529" xr:uid="{00000000-0005-0000-0000-000049190000}"/>
    <cellStyle name="Total 2 9 11" xfId="2283" xr:uid="{00000000-0005-0000-0000-00004A190000}"/>
    <cellStyle name="Total 2 9 11 2" xfId="4633" xr:uid="{00000000-0005-0000-0000-00004B190000}"/>
    <cellStyle name="Total 2 9 11 3" xfId="6530" xr:uid="{00000000-0005-0000-0000-00004C190000}"/>
    <cellStyle name="Total 2 9 12" xfId="2284" xr:uid="{00000000-0005-0000-0000-00004D190000}"/>
    <cellStyle name="Total 2 9 12 2" xfId="4634" xr:uid="{00000000-0005-0000-0000-00004E190000}"/>
    <cellStyle name="Total 2 9 12 3" xfId="6531" xr:uid="{00000000-0005-0000-0000-00004F190000}"/>
    <cellStyle name="Total 2 9 13" xfId="2285" xr:uid="{00000000-0005-0000-0000-000050190000}"/>
    <cellStyle name="Total 2 9 13 2" xfId="4635" xr:uid="{00000000-0005-0000-0000-000051190000}"/>
    <cellStyle name="Total 2 9 13 3" xfId="6532" xr:uid="{00000000-0005-0000-0000-000052190000}"/>
    <cellStyle name="Total 2 9 14" xfId="2286" xr:uid="{00000000-0005-0000-0000-000053190000}"/>
    <cellStyle name="Total 2 9 14 2" xfId="4636" xr:uid="{00000000-0005-0000-0000-000054190000}"/>
    <cellStyle name="Total 2 9 14 3" xfId="6533" xr:uid="{00000000-0005-0000-0000-000055190000}"/>
    <cellStyle name="Total 2 9 15" xfId="2287" xr:uid="{00000000-0005-0000-0000-000056190000}"/>
    <cellStyle name="Total 2 9 15 2" xfId="4637" xr:uid="{00000000-0005-0000-0000-000057190000}"/>
    <cellStyle name="Total 2 9 15 3" xfId="6534" xr:uid="{00000000-0005-0000-0000-000058190000}"/>
    <cellStyle name="Total 2 9 16" xfId="2288" xr:uid="{00000000-0005-0000-0000-000059190000}"/>
    <cellStyle name="Total 2 9 16 2" xfId="4638" xr:uid="{00000000-0005-0000-0000-00005A190000}"/>
    <cellStyle name="Total 2 9 16 3" xfId="6535" xr:uid="{00000000-0005-0000-0000-00005B190000}"/>
    <cellStyle name="Total 2 9 17" xfId="2289" xr:uid="{00000000-0005-0000-0000-00005C190000}"/>
    <cellStyle name="Total 2 9 17 2" xfId="4639" xr:uid="{00000000-0005-0000-0000-00005D190000}"/>
    <cellStyle name="Total 2 9 17 3" xfId="6536" xr:uid="{00000000-0005-0000-0000-00005E190000}"/>
    <cellStyle name="Total 2 9 18" xfId="2290" xr:uid="{00000000-0005-0000-0000-00005F190000}"/>
    <cellStyle name="Total 2 9 18 2" xfId="4640" xr:uid="{00000000-0005-0000-0000-000060190000}"/>
    <cellStyle name="Total 2 9 18 3" xfId="6537" xr:uid="{00000000-0005-0000-0000-000061190000}"/>
    <cellStyle name="Total 2 9 19" xfId="2291" xr:uid="{00000000-0005-0000-0000-000062190000}"/>
    <cellStyle name="Total 2 9 19 2" xfId="4641" xr:uid="{00000000-0005-0000-0000-000063190000}"/>
    <cellStyle name="Total 2 9 19 3" xfId="6538" xr:uid="{00000000-0005-0000-0000-000064190000}"/>
    <cellStyle name="Total 2 9 2" xfId="2292" xr:uid="{00000000-0005-0000-0000-000065190000}"/>
    <cellStyle name="Total 2 9 2 2" xfId="4642" xr:uid="{00000000-0005-0000-0000-000066190000}"/>
    <cellStyle name="Total 2 9 2 3" xfId="6539" xr:uid="{00000000-0005-0000-0000-000067190000}"/>
    <cellStyle name="Total 2 9 20" xfId="2293" xr:uid="{00000000-0005-0000-0000-000068190000}"/>
    <cellStyle name="Total 2 9 20 2" xfId="4643" xr:uid="{00000000-0005-0000-0000-000069190000}"/>
    <cellStyle name="Total 2 9 20 3" xfId="6540" xr:uid="{00000000-0005-0000-0000-00006A190000}"/>
    <cellStyle name="Total 2 9 21" xfId="2294" xr:uid="{00000000-0005-0000-0000-00006B190000}"/>
    <cellStyle name="Total 2 9 21 2" xfId="4644" xr:uid="{00000000-0005-0000-0000-00006C190000}"/>
    <cellStyle name="Total 2 9 21 3" xfId="6541" xr:uid="{00000000-0005-0000-0000-00006D190000}"/>
    <cellStyle name="Total 2 9 22" xfId="2295" xr:uid="{00000000-0005-0000-0000-00006E190000}"/>
    <cellStyle name="Total 2 9 22 2" xfId="4645" xr:uid="{00000000-0005-0000-0000-00006F190000}"/>
    <cellStyle name="Total 2 9 22 3" xfId="6542" xr:uid="{00000000-0005-0000-0000-000070190000}"/>
    <cellStyle name="Total 2 9 23" xfId="2296" xr:uid="{00000000-0005-0000-0000-000071190000}"/>
    <cellStyle name="Total 2 9 23 2" xfId="4646" xr:uid="{00000000-0005-0000-0000-000072190000}"/>
    <cellStyle name="Total 2 9 23 3" xfId="6543" xr:uid="{00000000-0005-0000-0000-000073190000}"/>
    <cellStyle name="Total 2 9 24" xfId="4631" xr:uid="{00000000-0005-0000-0000-000074190000}"/>
    <cellStyle name="Total 2 9 25" xfId="6528" xr:uid="{00000000-0005-0000-0000-000075190000}"/>
    <cellStyle name="Total 2 9 3" xfId="2297" xr:uid="{00000000-0005-0000-0000-000076190000}"/>
    <cellStyle name="Total 2 9 3 2" xfId="4647" xr:uid="{00000000-0005-0000-0000-000077190000}"/>
    <cellStyle name="Total 2 9 3 3" xfId="6544" xr:uid="{00000000-0005-0000-0000-000078190000}"/>
    <cellStyle name="Total 2 9 4" xfId="2298" xr:uid="{00000000-0005-0000-0000-000079190000}"/>
    <cellStyle name="Total 2 9 4 2" xfId="4648" xr:uid="{00000000-0005-0000-0000-00007A190000}"/>
    <cellStyle name="Total 2 9 4 3" xfId="6545" xr:uid="{00000000-0005-0000-0000-00007B190000}"/>
    <cellStyle name="Total 2 9 5" xfId="2299" xr:uid="{00000000-0005-0000-0000-00007C190000}"/>
    <cellStyle name="Total 2 9 5 2" xfId="4649" xr:uid="{00000000-0005-0000-0000-00007D190000}"/>
    <cellStyle name="Total 2 9 5 3" xfId="6546" xr:uid="{00000000-0005-0000-0000-00007E190000}"/>
    <cellStyle name="Total 2 9 6" xfId="2300" xr:uid="{00000000-0005-0000-0000-00007F190000}"/>
    <cellStyle name="Total 2 9 6 2" xfId="4650" xr:uid="{00000000-0005-0000-0000-000080190000}"/>
    <cellStyle name="Total 2 9 6 3" xfId="6547" xr:uid="{00000000-0005-0000-0000-000081190000}"/>
    <cellStyle name="Total 2 9 7" xfId="2301" xr:uid="{00000000-0005-0000-0000-000082190000}"/>
    <cellStyle name="Total 2 9 7 2" xfId="4651" xr:uid="{00000000-0005-0000-0000-000083190000}"/>
    <cellStyle name="Total 2 9 7 3" xfId="6548" xr:uid="{00000000-0005-0000-0000-000084190000}"/>
    <cellStyle name="Total 2 9 8" xfId="2302" xr:uid="{00000000-0005-0000-0000-000085190000}"/>
    <cellStyle name="Total 2 9 8 2" xfId="4652" xr:uid="{00000000-0005-0000-0000-000086190000}"/>
    <cellStyle name="Total 2 9 8 3" xfId="6549" xr:uid="{00000000-0005-0000-0000-000087190000}"/>
    <cellStyle name="Total 2 9 9" xfId="2303" xr:uid="{00000000-0005-0000-0000-000088190000}"/>
    <cellStyle name="Total 2 9 9 2" xfId="4653" xr:uid="{00000000-0005-0000-0000-000089190000}"/>
    <cellStyle name="Total 2 9 9 3" xfId="6550" xr:uid="{00000000-0005-0000-0000-00008A190000}"/>
    <cellStyle name="Total 3" xfId="4758" xr:uid="{00000000-0005-0000-0000-00008B190000}"/>
    <cellStyle name="Total 4" xfId="2488" xr:uid="{00000000-0005-0000-0000-00008C190000}"/>
    <cellStyle name="Total 5" xfId="4262" xr:uid="{00000000-0005-0000-0000-00008D190000}"/>
    <cellStyle name="Tytuł" xfId="2304" xr:uid="{00000000-0005-0000-0000-00008E190000}"/>
    <cellStyle name="UploadThisRowValue" xfId="70" xr:uid="{00000000-0005-0000-0000-00008F190000}"/>
    <cellStyle name="Uwaga" xfId="2305" xr:uid="{00000000-0005-0000-0000-000090190000}"/>
    <cellStyle name="Uwaga 10" xfId="2306" xr:uid="{00000000-0005-0000-0000-000091190000}"/>
    <cellStyle name="Uwaga 10 2" xfId="4655" xr:uid="{00000000-0005-0000-0000-000092190000}"/>
    <cellStyle name="Uwaga 10 3" xfId="6552" xr:uid="{00000000-0005-0000-0000-000093190000}"/>
    <cellStyle name="Uwaga 11" xfId="2307" xr:uid="{00000000-0005-0000-0000-000094190000}"/>
    <cellStyle name="Uwaga 11 2" xfId="4656" xr:uid="{00000000-0005-0000-0000-000095190000}"/>
    <cellStyle name="Uwaga 11 3" xfId="6553" xr:uid="{00000000-0005-0000-0000-000096190000}"/>
    <cellStyle name="Uwaga 12" xfId="2308" xr:uid="{00000000-0005-0000-0000-000097190000}"/>
    <cellStyle name="Uwaga 12 2" xfId="4657" xr:uid="{00000000-0005-0000-0000-000098190000}"/>
    <cellStyle name="Uwaga 12 3" xfId="6554" xr:uid="{00000000-0005-0000-0000-000099190000}"/>
    <cellStyle name="Uwaga 13" xfId="2309" xr:uid="{00000000-0005-0000-0000-00009A190000}"/>
    <cellStyle name="Uwaga 13 2" xfId="4658" xr:uid="{00000000-0005-0000-0000-00009B190000}"/>
    <cellStyle name="Uwaga 13 3" xfId="6555" xr:uid="{00000000-0005-0000-0000-00009C190000}"/>
    <cellStyle name="Uwaga 14" xfId="2310" xr:uid="{00000000-0005-0000-0000-00009D190000}"/>
    <cellStyle name="Uwaga 14 2" xfId="4659" xr:uid="{00000000-0005-0000-0000-00009E190000}"/>
    <cellStyle name="Uwaga 14 3" xfId="6556" xr:uid="{00000000-0005-0000-0000-00009F190000}"/>
    <cellStyle name="Uwaga 15" xfId="2311" xr:uid="{00000000-0005-0000-0000-0000A0190000}"/>
    <cellStyle name="Uwaga 15 2" xfId="4660" xr:uid="{00000000-0005-0000-0000-0000A1190000}"/>
    <cellStyle name="Uwaga 15 3" xfId="6557" xr:uid="{00000000-0005-0000-0000-0000A2190000}"/>
    <cellStyle name="Uwaga 16" xfId="2312" xr:uid="{00000000-0005-0000-0000-0000A3190000}"/>
    <cellStyle name="Uwaga 16 2" xfId="4661" xr:uid="{00000000-0005-0000-0000-0000A4190000}"/>
    <cellStyle name="Uwaga 16 3" xfId="6558" xr:uid="{00000000-0005-0000-0000-0000A5190000}"/>
    <cellStyle name="Uwaga 17" xfId="2313" xr:uid="{00000000-0005-0000-0000-0000A6190000}"/>
    <cellStyle name="Uwaga 17 2" xfId="4662" xr:uid="{00000000-0005-0000-0000-0000A7190000}"/>
    <cellStyle name="Uwaga 17 3" xfId="6559" xr:uid="{00000000-0005-0000-0000-0000A8190000}"/>
    <cellStyle name="Uwaga 18" xfId="2314" xr:uid="{00000000-0005-0000-0000-0000A9190000}"/>
    <cellStyle name="Uwaga 18 2" xfId="4663" xr:uid="{00000000-0005-0000-0000-0000AA190000}"/>
    <cellStyle name="Uwaga 18 3" xfId="6560" xr:uid="{00000000-0005-0000-0000-0000AB190000}"/>
    <cellStyle name="Uwaga 19" xfId="2315" xr:uid="{00000000-0005-0000-0000-0000AC190000}"/>
    <cellStyle name="Uwaga 19 2" xfId="4664" xr:uid="{00000000-0005-0000-0000-0000AD190000}"/>
    <cellStyle name="Uwaga 19 3" xfId="6561" xr:uid="{00000000-0005-0000-0000-0000AE190000}"/>
    <cellStyle name="Uwaga 2" xfId="2316" xr:uid="{00000000-0005-0000-0000-0000AF190000}"/>
    <cellStyle name="Uwaga 2 10" xfId="2317" xr:uid="{00000000-0005-0000-0000-0000B0190000}"/>
    <cellStyle name="Uwaga 2 10 2" xfId="4666" xr:uid="{00000000-0005-0000-0000-0000B1190000}"/>
    <cellStyle name="Uwaga 2 10 3" xfId="6563" xr:uid="{00000000-0005-0000-0000-0000B2190000}"/>
    <cellStyle name="Uwaga 2 11" xfId="2318" xr:uid="{00000000-0005-0000-0000-0000B3190000}"/>
    <cellStyle name="Uwaga 2 11 2" xfId="4667" xr:uid="{00000000-0005-0000-0000-0000B4190000}"/>
    <cellStyle name="Uwaga 2 11 3" xfId="6564" xr:uid="{00000000-0005-0000-0000-0000B5190000}"/>
    <cellStyle name="Uwaga 2 12" xfId="2319" xr:uid="{00000000-0005-0000-0000-0000B6190000}"/>
    <cellStyle name="Uwaga 2 12 2" xfId="4668" xr:uid="{00000000-0005-0000-0000-0000B7190000}"/>
    <cellStyle name="Uwaga 2 12 3" xfId="6565" xr:uid="{00000000-0005-0000-0000-0000B8190000}"/>
    <cellStyle name="Uwaga 2 13" xfId="2320" xr:uid="{00000000-0005-0000-0000-0000B9190000}"/>
    <cellStyle name="Uwaga 2 13 2" xfId="4669" xr:uid="{00000000-0005-0000-0000-0000BA190000}"/>
    <cellStyle name="Uwaga 2 13 3" xfId="6566" xr:uid="{00000000-0005-0000-0000-0000BB190000}"/>
    <cellStyle name="Uwaga 2 14" xfId="2321" xr:uid="{00000000-0005-0000-0000-0000BC190000}"/>
    <cellStyle name="Uwaga 2 14 2" xfId="4670" xr:uid="{00000000-0005-0000-0000-0000BD190000}"/>
    <cellStyle name="Uwaga 2 14 3" xfId="6567" xr:uid="{00000000-0005-0000-0000-0000BE190000}"/>
    <cellStyle name="Uwaga 2 15" xfId="2322" xr:uid="{00000000-0005-0000-0000-0000BF190000}"/>
    <cellStyle name="Uwaga 2 15 2" xfId="4671" xr:uid="{00000000-0005-0000-0000-0000C0190000}"/>
    <cellStyle name="Uwaga 2 15 3" xfId="6568" xr:uid="{00000000-0005-0000-0000-0000C1190000}"/>
    <cellStyle name="Uwaga 2 16" xfId="2323" xr:uid="{00000000-0005-0000-0000-0000C2190000}"/>
    <cellStyle name="Uwaga 2 16 2" xfId="4672" xr:uid="{00000000-0005-0000-0000-0000C3190000}"/>
    <cellStyle name="Uwaga 2 16 3" xfId="6569" xr:uid="{00000000-0005-0000-0000-0000C4190000}"/>
    <cellStyle name="Uwaga 2 17" xfId="2324" xr:uid="{00000000-0005-0000-0000-0000C5190000}"/>
    <cellStyle name="Uwaga 2 17 2" xfId="4673" xr:uid="{00000000-0005-0000-0000-0000C6190000}"/>
    <cellStyle name="Uwaga 2 17 3" xfId="6570" xr:uid="{00000000-0005-0000-0000-0000C7190000}"/>
    <cellStyle name="Uwaga 2 18" xfId="2325" xr:uid="{00000000-0005-0000-0000-0000C8190000}"/>
    <cellStyle name="Uwaga 2 18 2" xfId="4674" xr:uid="{00000000-0005-0000-0000-0000C9190000}"/>
    <cellStyle name="Uwaga 2 18 3" xfId="6571" xr:uid="{00000000-0005-0000-0000-0000CA190000}"/>
    <cellStyle name="Uwaga 2 19" xfId="2326" xr:uid="{00000000-0005-0000-0000-0000CB190000}"/>
    <cellStyle name="Uwaga 2 19 2" xfId="4675" xr:uid="{00000000-0005-0000-0000-0000CC190000}"/>
    <cellStyle name="Uwaga 2 19 3" xfId="6572" xr:uid="{00000000-0005-0000-0000-0000CD190000}"/>
    <cellStyle name="Uwaga 2 2" xfId="2327" xr:uid="{00000000-0005-0000-0000-0000CE190000}"/>
    <cellStyle name="Uwaga 2 2 2" xfId="4676" xr:uid="{00000000-0005-0000-0000-0000CF190000}"/>
    <cellStyle name="Uwaga 2 2 3" xfId="6573" xr:uid="{00000000-0005-0000-0000-0000D0190000}"/>
    <cellStyle name="Uwaga 2 20" xfId="2328" xr:uid="{00000000-0005-0000-0000-0000D1190000}"/>
    <cellStyle name="Uwaga 2 20 2" xfId="4677" xr:uid="{00000000-0005-0000-0000-0000D2190000}"/>
    <cellStyle name="Uwaga 2 20 3" xfId="6574" xr:uid="{00000000-0005-0000-0000-0000D3190000}"/>
    <cellStyle name="Uwaga 2 21" xfId="2329" xr:uid="{00000000-0005-0000-0000-0000D4190000}"/>
    <cellStyle name="Uwaga 2 21 2" xfId="4678" xr:uid="{00000000-0005-0000-0000-0000D5190000}"/>
    <cellStyle name="Uwaga 2 21 3" xfId="6575" xr:uid="{00000000-0005-0000-0000-0000D6190000}"/>
    <cellStyle name="Uwaga 2 22" xfId="2330" xr:uid="{00000000-0005-0000-0000-0000D7190000}"/>
    <cellStyle name="Uwaga 2 22 2" xfId="4679" xr:uid="{00000000-0005-0000-0000-0000D8190000}"/>
    <cellStyle name="Uwaga 2 22 3" xfId="6576" xr:uid="{00000000-0005-0000-0000-0000D9190000}"/>
    <cellStyle name="Uwaga 2 23" xfId="2331" xr:uid="{00000000-0005-0000-0000-0000DA190000}"/>
    <cellStyle name="Uwaga 2 23 2" xfId="4680" xr:uid="{00000000-0005-0000-0000-0000DB190000}"/>
    <cellStyle name="Uwaga 2 23 3" xfId="6577" xr:uid="{00000000-0005-0000-0000-0000DC190000}"/>
    <cellStyle name="Uwaga 2 24" xfId="4665" xr:uid="{00000000-0005-0000-0000-0000DD190000}"/>
    <cellStyle name="Uwaga 2 25" xfId="6562" xr:uid="{00000000-0005-0000-0000-0000DE190000}"/>
    <cellStyle name="Uwaga 2 3" xfId="2332" xr:uid="{00000000-0005-0000-0000-0000DF190000}"/>
    <cellStyle name="Uwaga 2 3 2" xfId="4681" xr:uid="{00000000-0005-0000-0000-0000E0190000}"/>
    <cellStyle name="Uwaga 2 3 3" xfId="6578" xr:uid="{00000000-0005-0000-0000-0000E1190000}"/>
    <cellStyle name="Uwaga 2 4" xfId="2333" xr:uid="{00000000-0005-0000-0000-0000E2190000}"/>
    <cellStyle name="Uwaga 2 4 2" xfId="4682" xr:uid="{00000000-0005-0000-0000-0000E3190000}"/>
    <cellStyle name="Uwaga 2 4 3" xfId="6579" xr:uid="{00000000-0005-0000-0000-0000E4190000}"/>
    <cellStyle name="Uwaga 2 5" xfId="2334" xr:uid="{00000000-0005-0000-0000-0000E5190000}"/>
    <cellStyle name="Uwaga 2 5 2" xfId="4683" xr:uid="{00000000-0005-0000-0000-0000E6190000}"/>
    <cellStyle name="Uwaga 2 5 3" xfId="6580" xr:uid="{00000000-0005-0000-0000-0000E7190000}"/>
    <cellStyle name="Uwaga 2 6" xfId="2335" xr:uid="{00000000-0005-0000-0000-0000E8190000}"/>
    <cellStyle name="Uwaga 2 6 2" xfId="4684" xr:uid="{00000000-0005-0000-0000-0000E9190000}"/>
    <cellStyle name="Uwaga 2 6 3" xfId="6581" xr:uid="{00000000-0005-0000-0000-0000EA190000}"/>
    <cellStyle name="Uwaga 2 7" xfId="2336" xr:uid="{00000000-0005-0000-0000-0000EB190000}"/>
    <cellStyle name="Uwaga 2 7 2" xfId="4685" xr:uid="{00000000-0005-0000-0000-0000EC190000}"/>
    <cellStyle name="Uwaga 2 7 3" xfId="6582" xr:uid="{00000000-0005-0000-0000-0000ED190000}"/>
    <cellStyle name="Uwaga 2 8" xfId="2337" xr:uid="{00000000-0005-0000-0000-0000EE190000}"/>
    <cellStyle name="Uwaga 2 8 2" xfId="4686" xr:uid="{00000000-0005-0000-0000-0000EF190000}"/>
    <cellStyle name="Uwaga 2 8 3" xfId="6583" xr:uid="{00000000-0005-0000-0000-0000F0190000}"/>
    <cellStyle name="Uwaga 2 9" xfId="2338" xr:uid="{00000000-0005-0000-0000-0000F1190000}"/>
    <cellStyle name="Uwaga 2 9 2" xfId="4687" xr:uid="{00000000-0005-0000-0000-0000F2190000}"/>
    <cellStyle name="Uwaga 2 9 3" xfId="6584" xr:uid="{00000000-0005-0000-0000-0000F3190000}"/>
    <cellStyle name="Uwaga 20" xfId="2339" xr:uid="{00000000-0005-0000-0000-0000F4190000}"/>
    <cellStyle name="Uwaga 20 2" xfId="4688" xr:uid="{00000000-0005-0000-0000-0000F5190000}"/>
    <cellStyle name="Uwaga 20 3" xfId="6585" xr:uid="{00000000-0005-0000-0000-0000F6190000}"/>
    <cellStyle name="Uwaga 21" xfId="2340" xr:uid="{00000000-0005-0000-0000-0000F7190000}"/>
    <cellStyle name="Uwaga 21 2" xfId="4689" xr:uid="{00000000-0005-0000-0000-0000F8190000}"/>
    <cellStyle name="Uwaga 21 3" xfId="6586" xr:uid="{00000000-0005-0000-0000-0000F9190000}"/>
    <cellStyle name="Uwaga 22" xfId="2341" xr:uid="{00000000-0005-0000-0000-0000FA190000}"/>
    <cellStyle name="Uwaga 22 2" xfId="4690" xr:uid="{00000000-0005-0000-0000-0000FB190000}"/>
    <cellStyle name="Uwaga 22 3" xfId="6587" xr:uid="{00000000-0005-0000-0000-0000FC190000}"/>
    <cellStyle name="Uwaga 23" xfId="2342" xr:uid="{00000000-0005-0000-0000-0000FD190000}"/>
    <cellStyle name="Uwaga 23 2" xfId="4691" xr:uid="{00000000-0005-0000-0000-0000FE190000}"/>
    <cellStyle name="Uwaga 23 3" xfId="6588" xr:uid="{00000000-0005-0000-0000-0000FF190000}"/>
    <cellStyle name="Uwaga 24" xfId="2343" xr:uid="{00000000-0005-0000-0000-0000001A0000}"/>
    <cellStyle name="Uwaga 24 2" xfId="4692" xr:uid="{00000000-0005-0000-0000-0000011A0000}"/>
    <cellStyle name="Uwaga 24 3" xfId="6589" xr:uid="{00000000-0005-0000-0000-0000021A0000}"/>
    <cellStyle name="Uwaga 25" xfId="2344" xr:uid="{00000000-0005-0000-0000-0000031A0000}"/>
    <cellStyle name="Uwaga 25 2" xfId="4693" xr:uid="{00000000-0005-0000-0000-0000041A0000}"/>
    <cellStyle name="Uwaga 25 3" xfId="6590" xr:uid="{00000000-0005-0000-0000-0000051A0000}"/>
    <cellStyle name="Uwaga 26" xfId="4654" xr:uid="{00000000-0005-0000-0000-0000061A0000}"/>
    <cellStyle name="Uwaga 27" xfId="6551" xr:uid="{00000000-0005-0000-0000-0000071A0000}"/>
    <cellStyle name="Uwaga 3" xfId="2345" xr:uid="{00000000-0005-0000-0000-0000081A0000}"/>
    <cellStyle name="Uwaga 3 10" xfId="2346" xr:uid="{00000000-0005-0000-0000-0000091A0000}"/>
    <cellStyle name="Uwaga 3 10 2" xfId="4695" xr:uid="{00000000-0005-0000-0000-00000A1A0000}"/>
    <cellStyle name="Uwaga 3 10 3" xfId="6592" xr:uid="{00000000-0005-0000-0000-00000B1A0000}"/>
    <cellStyle name="Uwaga 3 11" xfId="2347" xr:uid="{00000000-0005-0000-0000-00000C1A0000}"/>
    <cellStyle name="Uwaga 3 11 2" xfId="4696" xr:uid="{00000000-0005-0000-0000-00000D1A0000}"/>
    <cellStyle name="Uwaga 3 11 3" xfId="6593" xr:uid="{00000000-0005-0000-0000-00000E1A0000}"/>
    <cellStyle name="Uwaga 3 12" xfId="2348" xr:uid="{00000000-0005-0000-0000-00000F1A0000}"/>
    <cellStyle name="Uwaga 3 12 2" xfId="4697" xr:uid="{00000000-0005-0000-0000-0000101A0000}"/>
    <cellStyle name="Uwaga 3 12 3" xfId="6594" xr:uid="{00000000-0005-0000-0000-0000111A0000}"/>
    <cellStyle name="Uwaga 3 13" xfId="2349" xr:uid="{00000000-0005-0000-0000-0000121A0000}"/>
    <cellStyle name="Uwaga 3 13 2" xfId="4698" xr:uid="{00000000-0005-0000-0000-0000131A0000}"/>
    <cellStyle name="Uwaga 3 13 3" xfId="6595" xr:uid="{00000000-0005-0000-0000-0000141A0000}"/>
    <cellStyle name="Uwaga 3 14" xfId="2350" xr:uid="{00000000-0005-0000-0000-0000151A0000}"/>
    <cellStyle name="Uwaga 3 14 2" xfId="4699" xr:uid="{00000000-0005-0000-0000-0000161A0000}"/>
    <cellStyle name="Uwaga 3 14 3" xfId="6596" xr:uid="{00000000-0005-0000-0000-0000171A0000}"/>
    <cellStyle name="Uwaga 3 15" xfId="2351" xr:uid="{00000000-0005-0000-0000-0000181A0000}"/>
    <cellStyle name="Uwaga 3 15 2" xfId="4700" xr:uid="{00000000-0005-0000-0000-0000191A0000}"/>
    <cellStyle name="Uwaga 3 15 3" xfId="6597" xr:uid="{00000000-0005-0000-0000-00001A1A0000}"/>
    <cellStyle name="Uwaga 3 16" xfId="2352" xr:uid="{00000000-0005-0000-0000-00001B1A0000}"/>
    <cellStyle name="Uwaga 3 16 2" xfId="4701" xr:uid="{00000000-0005-0000-0000-00001C1A0000}"/>
    <cellStyle name="Uwaga 3 16 3" xfId="6598" xr:uid="{00000000-0005-0000-0000-00001D1A0000}"/>
    <cellStyle name="Uwaga 3 17" xfId="2353" xr:uid="{00000000-0005-0000-0000-00001E1A0000}"/>
    <cellStyle name="Uwaga 3 17 2" xfId="4702" xr:uid="{00000000-0005-0000-0000-00001F1A0000}"/>
    <cellStyle name="Uwaga 3 17 3" xfId="6599" xr:uid="{00000000-0005-0000-0000-0000201A0000}"/>
    <cellStyle name="Uwaga 3 18" xfId="2354" xr:uid="{00000000-0005-0000-0000-0000211A0000}"/>
    <cellStyle name="Uwaga 3 18 2" xfId="4703" xr:uid="{00000000-0005-0000-0000-0000221A0000}"/>
    <cellStyle name="Uwaga 3 18 3" xfId="6600" xr:uid="{00000000-0005-0000-0000-0000231A0000}"/>
    <cellStyle name="Uwaga 3 19" xfId="2355" xr:uid="{00000000-0005-0000-0000-0000241A0000}"/>
    <cellStyle name="Uwaga 3 19 2" xfId="4704" xr:uid="{00000000-0005-0000-0000-0000251A0000}"/>
    <cellStyle name="Uwaga 3 19 3" xfId="6601" xr:uid="{00000000-0005-0000-0000-0000261A0000}"/>
    <cellStyle name="Uwaga 3 2" xfId="2356" xr:uid="{00000000-0005-0000-0000-0000271A0000}"/>
    <cellStyle name="Uwaga 3 2 2" xfId="4705" xr:uid="{00000000-0005-0000-0000-0000281A0000}"/>
    <cellStyle name="Uwaga 3 2 3" xfId="6602" xr:uid="{00000000-0005-0000-0000-0000291A0000}"/>
    <cellStyle name="Uwaga 3 20" xfId="2357" xr:uid="{00000000-0005-0000-0000-00002A1A0000}"/>
    <cellStyle name="Uwaga 3 20 2" xfId="4706" xr:uid="{00000000-0005-0000-0000-00002B1A0000}"/>
    <cellStyle name="Uwaga 3 20 3" xfId="6603" xr:uid="{00000000-0005-0000-0000-00002C1A0000}"/>
    <cellStyle name="Uwaga 3 21" xfId="2358" xr:uid="{00000000-0005-0000-0000-00002D1A0000}"/>
    <cellStyle name="Uwaga 3 21 2" xfId="4707" xr:uid="{00000000-0005-0000-0000-00002E1A0000}"/>
    <cellStyle name="Uwaga 3 21 3" xfId="6604" xr:uid="{00000000-0005-0000-0000-00002F1A0000}"/>
    <cellStyle name="Uwaga 3 22" xfId="2359" xr:uid="{00000000-0005-0000-0000-0000301A0000}"/>
    <cellStyle name="Uwaga 3 22 2" xfId="4708" xr:uid="{00000000-0005-0000-0000-0000311A0000}"/>
    <cellStyle name="Uwaga 3 22 3" xfId="6605" xr:uid="{00000000-0005-0000-0000-0000321A0000}"/>
    <cellStyle name="Uwaga 3 23" xfId="2360" xr:uid="{00000000-0005-0000-0000-0000331A0000}"/>
    <cellStyle name="Uwaga 3 23 2" xfId="4709" xr:uid="{00000000-0005-0000-0000-0000341A0000}"/>
    <cellStyle name="Uwaga 3 23 3" xfId="6606" xr:uid="{00000000-0005-0000-0000-0000351A0000}"/>
    <cellStyle name="Uwaga 3 24" xfId="4694" xr:uid="{00000000-0005-0000-0000-0000361A0000}"/>
    <cellStyle name="Uwaga 3 25" xfId="6591" xr:uid="{00000000-0005-0000-0000-0000371A0000}"/>
    <cellStyle name="Uwaga 3 3" xfId="2361" xr:uid="{00000000-0005-0000-0000-0000381A0000}"/>
    <cellStyle name="Uwaga 3 3 2" xfId="4710" xr:uid="{00000000-0005-0000-0000-0000391A0000}"/>
    <cellStyle name="Uwaga 3 3 3" xfId="6607" xr:uid="{00000000-0005-0000-0000-00003A1A0000}"/>
    <cellStyle name="Uwaga 3 4" xfId="2362" xr:uid="{00000000-0005-0000-0000-00003B1A0000}"/>
    <cellStyle name="Uwaga 3 4 2" xfId="4711" xr:uid="{00000000-0005-0000-0000-00003C1A0000}"/>
    <cellStyle name="Uwaga 3 4 3" xfId="6608" xr:uid="{00000000-0005-0000-0000-00003D1A0000}"/>
    <cellStyle name="Uwaga 3 5" xfId="2363" xr:uid="{00000000-0005-0000-0000-00003E1A0000}"/>
    <cellStyle name="Uwaga 3 5 2" xfId="4712" xr:uid="{00000000-0005-0000-0000-00003F1A0000}"/>
    <cellStyle name="Uwaga 3 5 3" xfId="6609" xr:uid="{00000000-0005-0000-0000-0000401A0000}"/>
    <cellStyle name="Uwaga 3 6" xfId="2364" xr:uid="{00000000-0005-0000-0000-0000411A0000}"/>
    <cellStyle name="Uwaga 3 6 2" xfId="4713" xr:uid="{00000000-0005-0000-0000-0000421A0000}"/>
    <cellStyle name="Uwaga 3 6 3" xfId="6610" xr:uid="{00000000-0005-0000-0000-0000431A0000}"/>
    <cellStyle name="Uwaga 3 7" xfId="2365" xr:uid="{00000000-0005-0000-0000-0000441A0000}"/>
    <cellStyle name="Uwaga 3 7 2" xfId="4714" xr:uid="{00000000-0005-0000-0000-0000451A0000}"/>
    <cellStyle name="Uwaga 3 7 3" xfId="6611" xr:uid="{00000000-0005-0000-0000-0000461A0000}"/>
    <cellStyle name="Uwaga 3 8" xfId="2366" xr:uid="{00000000-0005-0000-0000-0000471A0000}"/>
    <cellStyle name="Uwaga 3 8 2" xfId="4715" xr:uid="{00000000-0005-0000-0000-0000481A0000}"/>
    <cellStyle name="Uwaga 3 8 3" xfId="6612" xr:uid="{00000000-0005-0000-0000-0000491A0000}"/>
    <cellStyle name="Uwaga 3 9" xfId="2367" xr:uid="{00000000-0005-0000-0000-00004A1A0000}"/>
    <cellStyle name="Uwaga 3 9 2" xfId="4716" xr:uid="{00000000-0005-0000-0000-00004B1A0000}"/>
    <cellStyle name="Uwaga 3 9 3" xfId="6613" xr:uid="{00000000-0005-0000-0000-00004C1A0000}"/>
    <cellStyle name="Uwaga 4" xfId="2368" xr:uid="{00000000-0005-0000-0000-00004D1A0000}"/>
    <cellStyle name="Uwaga 4 2" xfId="4717" xr:uid="{00000000-0005-0000-0000-00004E1A0000}"/>
    <cellStyle name="Uwaga 4 3" xfId="6614" xr:uid="{00000000-0005-0000-0000-00004F1A0000}"/>
    <cellStyle name="Uwaga 5" xfId="2369" xr:uid="{00000000-0005-0000-0000-0000501A0000}"/>
    <cellStyle name="Uwaga 5 2" xfId="4718" xr:uid="{00000000-0005-0000-0000-0000511A0000}"/>
    <cellStyle name="Uwaga 5 3" xfId="6615" xr:uid="{00000000-0005-0000-0000-0000521A0000}"/>
    <cellStyle name="Uwaga 6" xfId="2370" xr:uid="{00000000-0005-0000-0000-0000531A0000}"/>
    <cellStyle name="Uwaga 6 2" xfId="4719" xr:uid="{00000000-0005-0000-0000-0000541A0000}"/>
    <cellStyle name="Uwaga 6 3" xfId="6616" xr:uid="{00000000-0005-0000-0000-0000551A0000}"/>
    <cellStyle name="Uwaga 7" xfId="2371" xr:uid="{00000000-0005-0000-0000-0000561A0000}"/>
    <cellStyle name="Uwaga 7 2" xfId="4720" xr:uid="{00000000-0005-0000-0000-0000571A0000}"/>
    <cellStyle name="Uwaga 7 3" xfId="6617" xr:uid="{00000000-0005-0000-0000-0000581A0000}"/>
    <cellStyle name="Uwaga 8" xfId="2372" xr:uid="{00000000-0005-0000-0000-0000591A0000}"/>
    <cellStyle name="Uwaga 8 2" xfId="4721" xr:uid="{00000000-0005-0000-0000-00005A1A0000}"/>
    <cellStyle name="Uwaga 8 3" xfId="6618" xr:uid="{00000000-0005-0000-0000-00005B1A0000}"/>
    <cellStyle name="Uwaga 9" xfId="2373" xr:uid="{00000000-0005-0000-0000-00005C1A0000}"/>
    <cellStyle name="Uwaga 9 2" xfId="4722" xr:uid="{00000000-0005-0000-0000-00005D1A0000}"/>
    <cellStyle name="Uwaga 9 3" xfId="6619" xr:uid="{00000000-0005-0000-0000-00005E1A0000}"/>
    <cellStyle name="Warning Text" xfId="71" builtinId="11" customBuiltin="1"/>
    <cellStyle name="Warning Text 2" xfId="2374" xr:uid="{00000000-0005-0000-0000-0000601A0000}"/>
    <cellStyle name="Warning Text 3" xfId="4755" xr:uid="{00000000-0005-0000-0000-0000611A0000}"/>
    <cellStyle name="Złe" xfId="2375" xr:uid="{00000000-0005-0000-0000-0000621A0000}"/>
  </cellStyles>
  <dxfs count="77">
    <dxf>
      <font>
        <b val="0"/>
        <i val="0"/>
        <strike val="0"/>
        <condense val="0"/>
        <extend val="0"/>
        <outline val="0"/>
        <shadow val="0"/>
        <u val="none"/>
        <vertAlign val="baseline"/>
        <sz val="10"/>
        <color theme="1"/>
        <name val="Calibri"/>
        <scheme val="minor"/>
      </font>
      <numFmt numFmtId="0" formatCode="General"/>
      <fill>
        <patternFill patternType="solid">
          <fgColor theme="4" tint="0.59999389629810485"/>
          <bgColor theme="4" tint="0.59999389629810485"/>
        </patternFill>
      </fill>
      <alignment horizontal="center" vertical="bottom" textRotation="0" wrapText="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numFmt numFmtId="0" formatCode="General"/>
      <fill>
        <patternFill patternType="solid">
          <fgColor theme="4" tint="0.59999389629810485"/>
          <bgColor theme="4" tint="0.59999389629810485"/>
        </patternFill>
      </fill>
      <alignment horizontal="center" vertical="bottom" textRotation="0" wrapText="0" indent="0" justifyLastLine="0" shrinkToFit="0" readingOrder="0"/>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alignment horizontal="center" textRotation="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minor"/>
      </font>
      <fill>
        <patternFill patternType="solid">
          <fgColor theme="4" tint="0.79998168889431442"/>
          <bgColor theme="4"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rgb="FFBFBFBF"/>
        </patternFill>
      </fill>
    </dxf>
    <dxf>
      <fill>
        <patternFill>
          <bgColor rgb="FFBFBFBF"/>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rgb="FFBFBFBF"/>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bgColor indexed="65"/>
        </patternFill>
      </fill>
    </dxf>
    <dxf>
      <font>
        <b val="0"/>
        <i/>
      </font>
      <fill>
        <patternFill>
          <bgColor rgb="FFFFFF00"/>
        </patternFill>
      </fill>
    </dxf>
    <dxf>
      <font>
        <b val="0"/>
        <i/>
      </font>
      <fill>
        <patternFill>
          <bgColor rgb="FFFFFF00"/>
        </patternFill>
      </fill>
    </dxf>
    <dxf>
      <font>
        <b val="0"/>
        <i/>
      </font>
      <fill>
        <patternFill>
          <bgColor rgb="FFFFFF00"/>
        </patternFill>
      </fill>
    </dxf>
    <dxf>
      <font>
        <color theme="0"/>
      </font>
      <fill>
        <patternFill>
          <bgColor theme="3"/>
        </patternFill>
      </fill>
      <border>
        <left style="thin">
          <color auto="1"/>
        </left>
        <right style="thin">
          <color auto="1"/>
        </right>
        <bottom style="thin">
          <color auto="1"/>
        </bottom>
      </border>
    </dxf>
    <dxf>
      <font>
        <b val="0"/>
        <i/>
      </font>
      <fill>
        <patternFill>
          <bgColor rgb="FFFFFF00"/>
        </patternFill>
      </fill>
    </dxf>
    <dxf>
      <fill>
        <patternFill>
          <bgColor theme="0" tint="-0.14996795556505021"/>
        </patternFill>
      </fill>
    </dxf>
    <dxf>
      <font>
        <color rgb="FFFF0000"/>
      </font>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b val="0"/>
        <i/>
      </font>
      <fill>
        <patternFill>
          <bgColor rgb="FFFFFF0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rgb="FFFF0000"/>
      </font>
      <fill>
        <patternFill>
          <bgColor theme="0"/>
        </patternFill>
      </fill>
    </dxf>
    <dxf>
      <font>
        <color rgb="FFFF0000"/>
      </font>
      <fill>
        <patternFill patternType="none">
          <bgColor auto="1"/>
        </patternFill>
      </fill>
    </dxf>
    <dxf>
      <font>
        <color rgb="FFFF0000"/>
      </font>
    </dxf>
    <dxf>
      <font>
        <b val="0"/>
        <i/>
      </font>
      <fill>
        <patternFill>
          <bgColor rgb="FFFFFF00"/>
        </patternFill>
      </fill>
    </dxf>
    <dxf>
      <font>
        <b val="0"/>
        <i/>
      </font>
      <fill>
        <patternFill>
          <bgColor rgb="FFFFFF00"/>
        </patternFill>
      </fill>
    </dxf>
    <dxf>
      <font>
        <color rgb="FFFF0000"/>
      </font>
      <fill>
        <patternFill>
          <bgColor theme="0"/>
        </patternFill>
      </fill>
    </dxf>
    <dxf>
      <font>
        <color rgb="FFFF0000"/>
      </font>
      <fill>
        <patternFill patternType="none">
          <bgColor auto="1"/>
        </patternFill>
      </fill>
    </dxf>
    <dxf>
      <font>
        <color rgb="FFFF0000"/>
      </font>
      <fill>
        <patternFill patternType="none">
          <bgColor auto="1"/>
        </patternFill>
      </fill>
    </dxf>
    <dxf>
      <font>
        <color rgb="FFFF0000"/>
      </font>
      <border>
        <left/>
        <right/>
        <top/>
        <bottom/>
      </border>
    </dxf>
    <dxf>
      <fill>
        <patternFill>
          <bgColor rgb="FFFFFF00"/>
        </patternFill>
      </fill>
    </dxf>
    <dxf>
      <font>
        <color theme="0"/>
      </font>
      <fill>
        <patternFill>
          <bgColor theme="0"/>
        </patternFill>
      </fill>
      <border>
        <left/>
        <right/>
        <bottom/>
        <vertical/>
        <horizontal/>
      </border>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ont>
        <b val="0"/>
        <i/>
      </font>
      <fill>
        <patternFill>
          <bgColor rgb="FFCCCCFF"/>
        </patternFill>
      </fill>
    </dxf>
    <dxf>
      <fill>
        <patternFill>
          <bgColor rgb="FFCCCCFF"/>
        </patternFill>
      </fill>
    </dxf>
    <dxf>
      <fill>
        <patternFill>
          <bgColor theme="0" tint="-0.14996795556505021"/>
        </patternFill>
      </fill>
    </dxf>
  </dxfs>
  <tableStyles count="0" defaultTableStyle="TableStyleMedium9" defaultPivotStyle="PivotStyleLight16"/>
  <colors>
    <mruColors>
      <color rgb="FFCCCCFF"/>
      <color rgb="FFFFCC99"/>
      <color rgb="FF003366"/>
      <color rgb="FF333333"/>
      <color rgb="FF008000"/>
      <color rgb="FFD8D8D8"/>
      <color rgb="FF003300"/>
      <color rgb="FFE7E7E7"/>
      <color rgb="FFE1E1E1"/>
      <color rgb="FFE5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CONTROL!$E$43"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 Name of School'!D11"/><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1481375</xdr:colOff>
      <xdr:row>1</xdr:row>
      <xdr:rowOff>55564</xdr:rowOff>
    </xdr:from>
    <xdr:to>
      <xdr:col>4</xdr:col>
      <xdr:colOff>1900081</xdr:colOff>
      <xdr:row>6</xdr:row>
      <xdr:rowOff>17464</xdr:rowOff>
    </xdr:to>
    <xdr:pic>
      <xdr:nvPicPr>
        <xdr:cNvPr id="20653" name="Picture 1" descr="charter schools logo bw">
          <a:extLst>
            <a:ext uri="{FF2B5EF4-FFF2-40B4-BE49-F238E27FC236}">
              <a16:creationId xmlns:a16="http://schemas.microsoft.com/office/drawing/2014/main" id="{00000000-0008-0000-0000-0000AD500000}"/>
            </a:ext>
          </a:extLst>
        </xdr:cNvPr>
        <xdr:cNvPicPr>
          <a:picLocks noChangeAspect="1" noChangeArrowheads="1"/>
        </xdr:cNvPicPr>
      </xdr:nvPicPr>
      <xdr:blipFill>
        <a:blip xmlns:r="http://schemas.openxmlformats.org/officeDocument/2006/relationships" r:embed="rId1"/>
        <a:stretch>
          <a:fillRect/>
        </a:stretch>
      </xdr:blipFill>
      <xdr:spPr bwMode="auto">
        <a:xfrm>
          <a:off x="2310050" y="255589"/>
          <a:ext cx="3209531"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52917</xdr:colOff>
      <xdr:row>1</xdr:row>
      <xdr:rowOff>52917</xdr:rowOff>
    </xdr:from>
    <xdr:to>
      <xdr:col>3</xdr:col>
      <xdr:colOff>148167</xdr:colOff>
      <xdr:row>3</xdr:row>
      <xdr:rowOff>95276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33917" y="254000"/>
          <a:ext cx="539750" cy="423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83835</xdr:colOff>
      <xdr:row>1</xdr:row>
      <xdr:rowOff>15052</xdr:rowOff>
    </xdr:from>
    <xdr:to>
      <xdr:col>4</xdr:col>
      <xdr:colOff>1042454</xdr:colOff>
      <xdr:row>6</xdr:row>
      <xdr:rowOff>43627</xdr:rowOff>
    </xdr:to>
    <xdr:pic>
      <xdr:nvPicPr>
        <xdr:cNvPr id="43527" name="Picture 3" descr="charter schools logo bw">
          <a:extLst>
            <a:ext uri="{FF2B5EF4-FFF2-40B4-BE49-F238E27FC236}">
              <a16:creationId xmlns:a16="http://schemas.microsoft.com/office/drawing/2014/main" id="{00000000-0008-0000-0200-000007AA0000}"/>
            </a:ext>
          </a:extLst>
        </xdr:cNvPr>
        <xdr:cNvPicPr>
          <a:picLocks noChangeAspect="1" noChangeArrowheads="1"/>
        </xdr:cNvPicPr>
      </xdr:nvPicPr>
      <xdr:blipFill>
        <a:blip xmlns:r="http://schemas.openxmlformats.org/officeDocument/2006/relationships" r:embed="rId1"/>
        <a:stretch>
          <a:fillRect/>
        </a:stretch>
      </xdr:blipFill>
      <xdr:spPr bwMode="auto">
        <a:xfrm>
          <a:off x="2156475" y="129352"/>
          <a:ext cx="307888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3593</xdr:colOff>
      <xdr:row>10</xdr:row>
      <xdr:rowOff>20310</xdr:rowOff>
    </xdr:from>
    <xdr:to>
      <xdr:col>5</xdr:col>
      <xdr:colOff>167641</xdr:colOff>
      <xdr:row>10</xdr:row>
      <xdr:rowOff>180998</xdr:rowOff>
    </xdr:to>
    <xdr:pic>
      <xdr:nvPicPr>
        <xdr:cNvPr id="3" name="Picture 2">
          <a:hlinkClick xmlns:r="http://schemas.openxmlformats.org/officeDocument/2006/relationships" r:id="rId2" tooltip="Select Type"/>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945413" y="2405370"/>
          <a:ext cx="164048" cy="160688"/>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3</xdr:col>
          <xdr:colOff>548640</xdr:colOff>
          <xdr:row>20</xdr:row>
          <xdr:rowOff>182880</xdr:rowOff>
        </xdr:from>
        <xdr:to>
          <xdr:col>3</xdr:col>
          <xdr:colOff>1813560</xdr:colOff>
          <xdr:row>22</xdr:row>
          <xdr:rowOff>15240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2577465" y="4859655"/>
              <a:ext cx="1264920" cy="213360"/>
              <a:chOff x="2484120" y="5135880"/>
              <a:chExt cx="1264920" cy="213360"/>
            </a:xfrm>
          </xdr:grpSpPr>
          <xdr:sp macro="" textlink="">
            <xdr:nvSpPr>
              <xdr:cNvPr id="57346" name="Option Button 2" hidden="1">
                <a:extLst>
                  <a:ext uri="{63B3BB69-23CF-44E3-9099-C40C66FF867C}">
                    <a14:compatExt spid="_x0000_s57346"/>
                  </a:ext>
                  <a:ext uri="{FF2B5EF4-FFF2-40B4-BE49-F238E27FC236}">
                    <a16:creationId xmlns:a16="http://schemas.microsoft.com/office/drawing/2014/main" id="{00000000-0008-0000-0200-000002E00000}"/>
                  </a:ext>
                </a:extLst>
              </xdr:cNvPr>
              <xdr:cNvSpPr/>
            </xdr:nvSpPr>
            <xdr:spPr bwMode="auto">
              <a:xfrm>
                <a:off x="2484120" y="5135880"/>
                <a:ext cx="61722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57347" name="Option Button 3" hidden="1">
                <a:extLst>
                  <a:ext uri="{63B3BB69-23CF-44E3-9099-C40C66FF867C}">
                    <a14:compatExt spid="_x0000_s57347"/>
                  </a:ext>
                  <a:ext uri="{FF2B5EF4-FFF2-40B4-BE49-F238E27FC236}">
                    <a16:creationId xmlns:a16="http://schemas.microsoft.com/office/drawing/2014/main" id="{00000000-0008-0000-0200-000003E00000}"/>
                  </a:ext>
                </a:extLst>
              </xdr:cNvPr>
              <xdr:cNvSpPr/>
            </xdr:nvSpPr>
            <xdr:spPr bwMode="auto">
              <a:xfrm>
                <a:off x="3131820" y="5135880"/>
                <a:ext cx="617220" cy="2133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59249</xdr:colOff>
      <xdr:row>1</xdr:row>
      <xdr:rowOff>220976</xdr:rowOff>
    </xdr:from>
    <xdr:to>
      <xdr:col>3</xdr:col>
      <xdr:colOff>2201315</xdr:colOff>
      <xdr:row>7</xdr:row>
      <xdr:rowOff>42332</xdr:rowOff>
    </xdr:to>
    <xdr:sp macro="" textlink="BSNote1">
      <xdr:nvSpPr>
        <xdr:cNvPr id="2" name="TextBox 1">
          <a:extLst>
            <a:ext uri="{FF2B5EF4-FFF2-40B4-BE49-F238E27FC236}">
              <a16:creationId xmlns:a16="http://schemas.microsoft.com/office/drawing/2014/main" id="{00000000-0008-0000-0600-000002000000}"/>
            </a:ext>
          </a:extLst>
        </xdr:cNvPr>
        <xdr:cNvSpPr txBox="1"/>
      </xdr:nvSpPr>
      <xdr:spPr>
        <a:xfrm>
          <a:off x="59249" y="220976"/>
          <a:ext cx="4656666" cy="12860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A78604D5-113C-46FA-B910-87188032A51A}" type="TxLink">
            <a:rPr lang="en-US" sz="1200" b="1" i="0" u="none" strike="noStrike">
              <a:solidFill>
                <a:srgbClr val="FF0000"/>
              </a:solidFill>
              <a:latin typeface="Calibri"/>
            </a:rPr>
            <a:pPr algn="ctr"/>
            <a:t>#N/A</a:t>
          </a:fld>
          <a:endParaRPr lang="en-US" sz="1200" b="1" i="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581025</xdr:colOff>
      <xdr:row>2</xdr:row>
      <xdr:rowOff>57150</xdr:rowOff>
    </xdr:from>
    <xdr:to>
      <xdr:col>3</xdr:col>
      <xdr:colOff>2114550</xdr:colOff>
      <xdr:row>5</xdr:row>
      <xdr:rowOff>161925</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43100" y="447675"/>
          <a:ext cx="2286000" cy="6762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ocuments%20and%20Settings\dkielar\Local%20Settings\Temporary%20Internet%20Files\OLK21\Accrued_Inter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ENFS1\DeptData$\My%20Documents\TEMPLATES\Annual%20Budget%20&amp;%20Quarterly%20Report%20Template\X_djh_New%20Application%20Budget%20and%20Cash%20Flow%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interest Bond"/>
      <sheetName val="Sheet1"/>
      <sheetName val="Bond Amortization1"/>
      <sheetName val="Bond Amortization1 (2)"/>
      <sheetName val="Bond Amortization1 (3)"/>
      <sheetName val="Bond Discount"/>
      <sheetName val="Balance Sheet"/>
      <sheetName val="Bond Closing Costs Amortization"/>
      <sheetName val="Grants"/>
      <sheetName val="AR Grants"/>
      <sheetName val="AR School Districts"/>
      <sheetName val="All"/>
      <sheetName val="Facility"/>
      <sheetName val="Technology"/>
      <sheetName val="Curriculum"/>
      <sheetName val="Salary Accts &amp; Unions"/>
      <sheetName val="Validation Tabl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Guidance -- "/>
      <sheetName val="General Template Instructions"/>
      <sheetName val="New Application Budget ---&gt;"/>
      <sheetName val="School Info"/>
      <sheetName val="Enrollment"/>
      <sheetName val="Personnel"/>
      <sheetName val="Assumptions"/>
      <sheetName val="5 YR Budget"/>
      <sheetName val="Start-Up Budget"/>
      <sheetName val="Cash Flow"/>
    </sheetNames>
    <sheetDataSet>
      <sheetData sheetId="0" refreshError="1"/>
      <sheetData sheetId="1" refreshError="1"/>
      <sheetData sheetId="2" refreshError="1"/>
      <sheetData sheetId="3" refreshError="1"/>
      <sheetData sheetId="4" refreshError="1"/>
      <sheetData sheetId="5" refreshError="1"/>
      <sheetData sheetId="6">
        <row r="66">
          <cell r="AN66" t="str">
            <v>Positions</v>
          </cell>
        </row>
        <row r="67">
          <cell r="AN67" t="str">
            <v>Executive Management</v>
          </cell>
        </row>
        <row r="68">
          <cell r="AN68" t="str">
            <v>Instructional Management</v>
          </cell>
        </row>
        <row r="69">
          <cell r="AN69" t="str">
            <v>Deans, Directors &amp; Coordinators</v>
          </cell>
        </row>
        <row r="70">
          <cell r="AN70" t="str">
            <v>CFO / Director of Finance</v>
          </cell>
        </row>
        <row r="71">
          <cell r="AN71" t="str">
            <v>Operation / Business Manager</v>
          </cell>
        </row>
        <row r="72">
          <cell r="AN72" t="str">
            <v>Administrative Staff</v>
          </cell>
        </row>
        <row r="73">
          <cell r="AN73" t="str">
            <v>Other - Administrative</v>
          </cell>
        </row>
        <row r="74">
          <cell r="AN74" t="str">
            <v>Teachers - Regular</v>
          </cell>
        </row>
        <row r="75">
          <cell r="AN75" t="str">
            <v>Teachers - SPED</v>
          </cell>
        </row>
        <row r="76">
          <cell r="AN76" t="str">
            <v>Substitute Teachers</v>
          </cell>
        </row>
        <row r="77">
          <cell r="AN77" t="str">
            <v>Teaching Assistants</v>
          </cell>
        </row>
        <row r="78">
          <cell r="AN78" t="str">
            <v>Specialty Teachers</v>
          </cell>
        </row>
        <row r="79">
          <cell r="AN79" t="str">
            <v>Aides</v>
          </cell>
        </row>
        <row r="80">
          <cell r="AN80" t="str">
            <v>Therapists &amp; Counselors</v>
          </cell>
        </row>
        <row r="81">
          <cell r="AN81" t="str">
            <v xml:space="preserve">Other - Instructional </v>
          </cell>
        </row>
        <row r="82">
          <cell r="AN82" t="str">
            <v>Nurse</v>
          </cell>
        </row>
        <row r="83">
          <cell r="AN83" t="str">
            <v>Librarian</v>
          </cell>
        </row>
        <row r="84">
          <cell r="AN84" t="str">
            <v>Custodian</v>
          </cell>
        </row>
        <row r="85">
          <cell r="AN85" t="str">
            <v>Security</v>
          </cell>
        </row>
        <row r="86">
          <cell r="AN86" t="str">
            <v xml:space="preserve">Other - Non-Instructional </v>
          </cell>
        </row>
      </sheetData>
      <sheetData sheetId="7" refreshError="1"/>
      <sheetData sheetId="8" refreshError="1"/>
      <sheetData sheetId="9"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808:H1026" totalsRowShown="0" dataDxfId="7">
  <autoFilter ref="B808:H1026" xr:uid="{00000000-0009-0000-0100-000002000000}"/>
  <sortState xmlns:xlrd2="http://schemas.microsoft.com/office/spreadsheetml/2017/richdata2" ref="B809:H1023">
    <sortCondition ref="B808:B1023"/>
  </sortState>
  <tableColumns count="7">
    <tableColumn id="2" xr3:uid="{00000000-0010-0000-0000-000002000000}" name="SCHOOLS" dataDxfId="6"/>
    <tableColumn id="3" xr3:uid="{00000000-0010-0000-0000-000003000000}" name="YrOpen" dataDxfId="5"/>
    <tableColumn id="4" xr3:uid="{00000000-0010-0000-0000-000004000000}" name="MergeYr" dataDxfId="4"/>
    <tableColumn id="5" xr3:uid="{00000000-0010-0000-0000-000005000000}" name="MergeCorpID" dataDxfId="3"/>
    <tableColumn id="6" xr3:uid="{00000000-0010-0000-0000-000006000000}" name="MergeName" dataDxfId="2"/>
    <tableColumn id="7" xr3:uid="{00000000-0010-0000-0000-000007000000}" name="SurvivingEdCorp" dataDxfId="1">
      <calculatedColumnFormula>IF(ISBLANK(Table2[[#This Row],[MergeCorpID]]=TRUE),"",AND(ISNUMBER(Table2[[#This Row],[MergeCorpID]])=TRUE,ISBLANK(Table2[[#This Row],[MergeName]])=FALSE))</calculatedColumnFormula>
    </tableColumn>
    <tableColumn id="8" xr3:uid="{00000000-0010-0000-0000-000008000000}" name="BS-NeedCode" dataDxfId="0">
      <calculatedColumnFormula>IF(ISBLANK(Table2[[#This Row],[MergeCorpID]])=TRUE,0,IF(Table2[[#This Row],[SurvivingEdCorp]]=TRUE,1,2))</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0.bin"/><Relationship Id="rId1" Type="http://schemas.openxmlformats.org/officeDocument/2006/relationships/hyperlink" Target="http://www.contextures.com/xlDataVal03.html" TargetMode="External"/><Relationship Id="rId5" Type="http://schemas.openxmlformats.org/officeDocument/2006/relationships/comments" Target="../comments7.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indexed="63"/>
    <pageSetUpPr fitToPage="1"/>
  </sheetPr>
  <dimension ref="B1:J39"/>
  <sheetViews>
    <sheetView showGridLines="0" tabSelected="1" zoomScale="90" zoomScaleNormal="90" zoomScaleSheetLayoutView="100" workbookViewId="0">
      <selection activeCell="K16" sqref="K16"/>
    </sheetView>
  </sheetViews>
  <sheetFormatPr defaultColWidth="8.85546875" defaultRowHeight="15"/>
  <cols>
    <col min="1" max="1" width="5.7109375" style="1" customWidth="1"/>
    <col min="2" max="2" width="2.7109375" style="1" customWidth="1"/>
    <col min="3" max="3" width="4" style="1" customWidth="1"/>
    <col min="4" max="4" width="41.85546875" style="1" customWidth="1"/>
    <col min="5" max="5" width="65.5703125" style="1" customWidth="1"/>
    <col min="6" max="6" width="2.7109375" style="1" customWidth="1"/>
    <col min="7" max="16384" width="8.85546875" style="1"/>
  </cols>
  <sheetData>
    <row r="1" spans="2:10" ht="15.75" thickBot="1"/>
    <row r="2" spans="2:10">
      <c r="B2" s="152"/>
      <c r="C2" s="153"/>
      <c r="D2" s="153"/>
      <c r="E2" s="153"/>
      <c r="F2" s="154"/>
    </row>
    <row r="3" spans="2:10">
      <c r="B3" s="155"/>
      <c r="F3" s="156"/>
    </row>
    <row r="4" spans="2:10">
      <c r="B4" s="155"/>
      <c r="F4" s="156"/>
    </row>
    <row r="5" spans="2:10">
      <c r="B5" s="155"/>
      <c r="F5" s="156"/>
    </row>
    <row r="6" spans="2:10">
      <c r="B6" s="155"/>
      <c r="F6" s="156"/>
    </row>
    <row r="7" spans="2:10" ht="37.5">
      <c r="B7" s="157"/>
      <c r="C7" s="158" t="s">
        <v>363</v>
      </c>
      <c r="D7" s="159"/>
      <c r="E7" s="160"/>
      <c r="F7" s="161"/>
    </row>
    <row r="8" spans="2:10">
      <c r="B8" s="155"/>
      <c r="C8" s="3"/>
      <c r="D8" s="3"/>
      <c r="F8" s="156"/>
    </row>
    <row r="9" spans="2:10">
      <c r="B9" s="155"/>
      <c r="C9" s="135" t="s">
        <v>371</v>
      </c>
      <c r="D9" s="135"/>
      <c r="E9" s="135"/>
      <c r="F9" s="156"/>
    </row>
    <row r="10" spans="2:10" ht="24.95" customHeight="1">
      <c r="B10" s="155"/>
      <c r="C10" s="165" t="s">
        <v>369</v>
      </c>
      <c r="E10" s="166"/>
      <c r="F10" s="156"/>
    </row>
    <row r="11" spans="2:10">
      <c r="B11" s="155"/>
      <c r="C11" s="167"/>
      <c r="D11" s="560" t="s">
        <v>152</v>
      </c>
      <c r="E11" s="515" t="s">
        <v>359</v>
      </c>
      <c r="F11" s="156"/>
    </row>
    <row r="12" spans="2:10">
      <c r="B12" s="577"/>
      <c r="C12" s="167"/>
      <c r="D12" s="580" t="s">
        <v>153</v>
      </c>
      <c r="E12" s="578" t="s">
        <v>493</v>
      </c>
      <c r="F12" s="512"/>
    </row>
    <row r="13" spans="2:10" ht="24.95" customHeight="1">
      <c r="B13" s="155"/>
      <c r="C13" s="165" t="s">
        <v>370</v>
      </c>
      <c r="F13" s="156"/>
    </row>
    <row r="14" spans="2:10" ht="30">
      <c r="B14" s="155"/>
      <c r="D14" s="579" t="s">
        <v>352</v>
      </c>
      <c r="E14" s="514" t="s">
        <v>524</v>
      </c>
      <c r="F14" s="156"/>
    </row>
    <row r="15" spans="2:10" ht="60">
      <c r="B15" s="155"/>
      <c r="D15" s="579" t="s">
        <v>353</v>
      </c>
      <c r="E15" s="514" t="s">
        <v>525</v>
      </c>
      <c r="F15" s="156"/>
    </row>
    <row r="16" spans="2:10" ht="92.45" customHeight="1">
      <c r="B16" s="155"/>
      <c r="D16" s="579" t="s">
        <v>354</v>
      </c>
      <c r="E16" s="514" t="s">
        <v>634</v>
      </c>
      <c r="F16" s="156"/>
      <c r="J16" s="510"/>
    </row>
    <row r="17" spans="2:10" ht="200.45" customHeight="1">
      <c r="B17" s="155"/>
      <c r="D17" s="513" t="s">
        <v>355</v>
      </c>
      <c r="E17" s="514" t="s">
        <v>632</v>
      </c>
      <c r="F17" s="512"/>
      <c r="J17" s="510"/>
    </row>
    <row r="18" spans="2:10" ht="76.150000000000006" customHeight="1">
      <c r="B18" s="155"/>
      <c r="D18" s="579" t="s">
        <v>356</v>
      </c>
      <c r="E18" s="514" t="s">
        <v>633</v>
      </c>
      <c r="F18" s="512"/>
      <c r="J18" s="510"/>
    </row>
    <row r="19" spans="2:10" ht="107.45" customHeight="1">
      <c r="B19" s="155"/>
      <c r="D19" s="513" t="s">
        <v>357</v>
      </c>
      <c r="E19" s="514" t="s">
        <v>527</v>
      </c>
      <c r="F19" s="512"/>
      <c r="J19" s="510"/>
    </row>
    <row r="20" spans="2:10">
      <c r="B20" s="155"/>
      <c r="D20" s="513" t="s">
        <v>358</v>
      </c>
      <c r="E20" s="514" t="s">
        <v>362</v>
      </c>
      <c r="F20" s="512"/>
      <c r="J20" s="510"/>
    </row>
    <row r="21" spans="2:10">
      <c r="B21" s="155"/>
      <c r="D21" s="510"/>
      <c r="E21" s="511"/>
      <c r="F21" s="512"/>
      <c r="J21" s="510"/>
    </row>
    <row r="22" spans="2:10">
      <c r="B22" s="155"/>
      <c r="C22" s="3"/>
      <c r="D22" s="168"/>
      <c r="F22" s="156"/>
    </row>
    <row r="23" spans="2:10">
      <c r="B23" s="155"/>
      <c r="C23" s="135" t="s">
        <v>154</v>
      </c>
      <c r="D23" s="135"/>
      <c r="E23" s="135"/>
      <c r="F23" s="156"/>
    </row>
    <row r="24" spans="2:10" ht="24.95" customHeight="1">
      <c r="B24" s="155"/>
      <c r="C24" s="13"/>
      <c r="D24" s="13"/>
      <c r="F24" s="156"/>
    </row>
    <row r="25" spans="2:10">
      <c r="B25" s="155"/>
      <c r="C25" s="136"/>
      <c r="D25" s="169" t="s">
        <v>161</v>
      </c>
      <c r="E25" s="4"/>
      <c r="F25" s="156"/>
    </row>
    <row r="26" spans="2:10" ht="5.0999999999999996" customHeight="1">
      <c r="B26" s="155"/>
      <c r="C26"/>
      <c r="E26" s="4"/>
      <c r="F26" s="156"/>
    </row>
    <row r="27" spans="2:10">
      <c r="B27" s="155"/>
      <c r="C27" s="137"/>
      <c r="D27" s="169" t="s">
        <v>167</v>
      </c>
      <c r="E27" s="4"/>
      <c r="F27" s="156"/>
    </row>
    <row r="28" spans="2:10" ht="5.0999999999999996" customHeight="1">
      <c r="B28" s="155"/>
      <c r="C28"/>
      <c r="D28" s="169"/>
      <c r="E28" s="4"/>
      <c r="F28" s="156"/>
    </row>
    <row r="29" spans="2:10" s="4" customFormat="1" ht="31.5" customHeight="1">
      <c r="B29" s="162"/>
      <c r="C29" s="138"/>
      <c r="D29" s="963" t="s">
        <v>162</v>
      </c>
      <c r="E29" s="964"/>
      <c r="F29" s="164"/>
    </row>
    <row r="30" spans="2:10" ht="15" customHeight="1" thickBot="1">
      <c r="B30" s="163"/>
      <c r="C30" s="170"/>
      <c r="D30" s="170"/>
      <c r="E30" s="171"/>
      <c r="F30" s="944" t="s">
        <v>2050</v>
      </c>
    </row>
    <row r="31" spans="2:10" ht="15" customHeight="1"/>
    <row r="32" spans="2:10" ht="15" customHeight="1"/>
    <row r="34" ht="13.5" customHeight="1"/>
    <row r="35" ht="15.75" customHeight="1"/>
    <row r="36" ht="15" customHeight="1"/>
    <row r="37" ht="12.75" customHeight="1"/>
    <row r="38" ht="12.75" customHeight="1"/>
    <row r="39" ht="12.75" customHeight="1"/>
  </sheetData>
  <sheetProtection algorithmName="SHA-512" hashValue="eBXZgS2oSyNDlfHf792JLjtj27jtXT8SMR3HZ4tgLHOE8l2ZDWTOsFf1tovsCLhal0ONBoIdgh2wvYr67XBatA==" saltValue="0g8NRF25URuw6PsFwQNAzw==" spinCount="100000" sheet="1" objects="1" scenarios="1"/>
  <customSheetViews>
    <customSheetView guid="{7E5415B2-297C-4CDE-9A5E-CCA4F5662440}" scale="150" showPageBreaks="1" printArea="1" view="pageBreakPreview">
      <selection activeCell="C14" sqref="C14:H15"/>
      <pageMargins left="0.7" right="0.7" top="0.75" bottom="0.75" header="0.3" footer="0.3"/>
      <printOptions horizontalCentered="1"/>
      <pageSetup orientation="portrait"/>
      <headerFooter alignWithMargins="0"/>
    </customSheetView>
    <customSheetView guid="{5E4DC421-887D-9843-8B54-CF861F76B668}" scale="150">
      <selection activeCell="C14" sqref="C14:H15"/>
      <pageMargins left="0.7" right="0.7" top="0.75" bottom="0.75" header="0.3" footer="0.3"/>
      <printOptions horizontalCentered="1"/>
      <pageSetup orientation="portrait"/>
      <headerFooter alignWithMargins="0"/>
    </customSheetView>
  </customSheetViews>
  <mergeCells count="1">
    <mergeCell ref="D29:E29"/>
  </mergeCells>
  <phoneticPr fontId="5" type="noConversion"/>
  <hyperlinks>
    <hyperlink ref="D11" location="INSTRUCTIONS!A1" display="Instructions" xr:uid="{00000000-0004-0000-0000-000000000000}"/>
    <hyperlink ref="D14" location="'1.) Name of School'!A1" display="1.) Name of School" xr:uid="{00000000-0004-0000-0000-000001000000}"/>
    <hyperlink ref="D15" location="'2.) Enrollment'!A1" display="2.) Enrollment" xr:uid="{00000000-0004-0000-0000-000002000000}"/>
    <hyperlink ref="D16" location="'3.) Staffing Plan'!A1" display="3.) Staffing Plan" xr:uid="{00000000-0004-0000-0000-000003000000}"/>
    <hyperlink ref="D17" location="'4.) Yearly Budget'!A1" display="4.) Yearly Budget" xr:uid="{00000000-0004-0000-0000-000004000000}"/>
    <hyperlink ref="D18" location="'5.) Balance Sheet'!A1" display="5.) Balance Sheet" xr:uid="{00000000-0004-0000-0000-000005000000}"/>
    <hyperlink ref="D19" location="'6.) Quarterly Report'!A1" display="6.) Quarterly Report" xr:uid="{00000000-0004-0000-0000-000006000000}"/>
    <hyperlink ref="D20" location="'7.) Annual Report Requirement'!A1" display="7.) Annual Report Requirement" xr:uid="{00000000-0004-0000-0000-000007000000}"/>
    <hyperlink ref="D12" location="'Funding by District'!A1" display="Funding by District" xr:uid="{00000000-0004-0000-0000-000008000000}"/>
  </hyperlinks>
  <printOptions horizontalCentered="1"/>
  <pageMargins left="0.7" right="0.7" top="0.85" bottom="0.75" header="0.3" footer="0.3"/>
  <pageSetup scale="77"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rgb="FFFF0000"/>
  </sheetPr>
  <dimension ref="A1:AH1026"/>
  <sheetViews>
    <sheetView topLeftCell="A986" zoomScale="90" zoomScaleNormal="90" workbookViewId="0">
      <selection activeCell="B972" sqref="B972"/>
    </sheetView>
  </sheetViews>
  <sheetFormatPr defaultColWidth="9.140625" defaultRowHeight="15"/>
  <cols>
    <col min="1" max="1" width="9.140625" style="1"/>
    <col min="2" max="2" width="51.28515625" style="1" customWidth="1"/>
    <col min="3" max="3" width="11.5703125" style="1" customWidth="1"/>
    <col min="4" max="4" width="15.7109375" style="1" customWidth="1"/>
    <col min="5" max="5" width="17.28515625" style="1" customWidth="1"/>
    <col min="6" max="6" width="56.85546875" style="1" customWidth="1"/>
    <col min="7" max="8" width="15.7109375" style="1" customWidth="1"/>
    <col min="9" max="9" width="18.140625" style="1" customWidth="1"/>
    <col min="10" max="10" width="13.85546875" style="3" customWidth="1"/>
    <col min="11" max="11" width="27.5703125" style="1" customWidth="1"/>
    <col min="12" max="15" width="12.7109375" style="1" customWidth="1"/>
    <col min="16" max="16" width="13.85546875" style="1" customWidth="1"/>
    <col min="17" max="17" width="12.7109375" style="1" customWidth="1"/>
    <col min="18" max="18" width="12.7109375" customWidth="1"/>
    <col min="19" max="19" width="55.7109375" bestFit="1" customWidth="1"/>
    <col min="20" max="23" width="11.28515625" customWidth="1"/>
    <col min="24" max="24" width="14.7109375" bestFit="1" customWidth="1"/>
    <col min="25" max="25" width="16.7109375" bestFit="1" customWidth="1"/>
    <col min="26" max="29" width="11.28515625" bestFit="1" customWidth="1"/>
    <col min="30" max="30" width="8.85546875"/>
    <col min="31" max="31" width="17.7109375" customWidth="1"/>
    <col min="32" max="32" width="6.140625" bestFit="1" customWidth="1"/>
    <col min="33" max="34" width="8.85546875" customWidth="1"/>
    <col min="35" max="16384" width="9.140625" style="1"/>
  </cols>
  <sheetData>
    <row r="1" spans="1:34" ht="18.75">
      <c r="A1" s="20"/>
      <c r="L1"/>
      <c r="M1"/>
      <c r="N1"/>
      <c r="O1"/>
      <c r="P1"/>
      <c r="Q1"/>
    </row>
    <row r="2" spans="1:34" ht="18.75">
      <c r="A2" s="20"/>
      <c r="J2" s="1"/>
      <c r="L2"/>
      <c r="M2"/>
      <c r="N2"/>
      <c r="O2"/>
      <c r="P2"/>
      <c r="Q2"/>
    </row>
    <row r="3" spans="1:34" ht="31.5" thickBot="1">
      <c r="A3" s="20"/>
      <c r="J3" s="30" t="s">
        <v>132</v>
      </c>
      <c r="K3" s="31" t="s">
        <v>164</v>
      </c>
      <c r="L3"/>
      <c r="N3"/>
      <c r="O3"/>
      <c r="P3"/>
      <c r="Q3"/>
    </row>
    <row r="4" spans="1:34" ht="19.5" thickBot="1">
      <c r="A4" s="27" t="s">
        <v>139</v>
      </c>
      <c r="B4" s="28"/>
      <c r="L4"/>
      <c r="M4" s="1052" t="s">
        <v>508</v>
      </c>
      <c r="N4" s="1053"/>
      <c r="O4" s="1054"/>
      <c r="P4"/>
      <c r="Q4"/>
    </row>
    <row r="5" spans="1:34" ht="18.75">
      <c r="A5" s="20"/>
      <c r="B5" s="1" t="s">
        <v>133</v>
      </c>
      <c r="E5" s="9" t="s">
        <v>134</v>
      </c>
      <c r="F5" s="10"/>
      <c r="G5" s="10"/>
      <c r="H5" s="11"/>
      <c r="I5" s="12" t="str">
        <f>UPPER('1.) Name of School'!C9)</f>
        <v/>
      </c>
      <c r="J5" s="31">
        <f>IF(I5="Select SCHOOL or MERGED EDCORP from drop-down list→",0,1)</f>
        <v>1</v>
      </c>
      <c r="L5"/>
      <c r="M5" s="729" t="s">
        <v>504</v>
      </c>
      <c r="N5" s="724" t="s">
        <v>505</v>
      </c>
      <c r="O5" s="730" t="s">
        <v>506</v>
      </c>
      <c r="P5"/>
      <c r="Q5"/>
    </row>
    <row r="6" spans="1:34" ht="18.75">
      <c r="A6" s="20"/>
      <c r="B6" s="1" t="s">
        <v>135</v>
      </c>
      <c r="E6" s="9" t="s">
        <v>134</v>
      </c>
      <c r="F6" s="10"/>
      <c r="G6" s="10"/>
      <c r="H6" s="11"/>
      <c r="I6" s="12" t="str">
        <f>'1.) Name of School'!D13</f>
        <v>enter name</v>
      </c>
      <c r="J6" s="31">
        <f>IF(I6="enter name",0,1)</f>
        <v>0</v>
      </c>
      <c r="M6" s="725" t="s">
        <v>194</v>
      </c>
      <c r="N6" s="721">
        <f>COUNTIF('6.) Quarterly Report'!I6:I9,"&gt;0")</f>
        <v>0</v>
      </c>
      <c r="O6" s="726" t="b">
        <f>IF(N6&gt;0,1)</f>
        <v>0</v>
      </c>
      <c r="P6"/>
      <c r="Q6"/>
    </row>
    <row r="7" spans="1:34" ht="18.75">
      <c r="A7" s="20"/>
      <c r="B7" s="1" t="s">
        <v>136</v>
      </c>
      <c r="E7" s="9" t="s">
        <v>134</v>
      </c>
      <c r="F7" s="10"/>
      <c r="G7" s="10"/>
      <c r="H7" s="11"/>
      <c r="I7" s="12" t="str">
        <f>'1.) Name of School'!D14</f>
        <v>enter title</v>
      </c>
      <c r="J7" s="31">
        <f>IF(I7="enter title",0,1)</f>
        <v>0</v>
      </c>
      <c r="M7" s="725" t="s">
        <v>195</v>
      </c>
      <c r="N7" s="721">
        <f>COUNTIF('6.) Quarterly Report'!L6:L9,"&gt;0")</f>
        <v>0</v>
      </c>
      <c r="O7" s="726" t="b">
        <f>IF(N7&gt;0,2)</f>
        <v>0</v>
      </c>
      <c r="P7"/>
      <c r="Q7"/>
    </row>
    <row r="8" spans="1:34" ht="18.75">
      <c r="A8" s="20"/>
      <c r="B8" s="1" t="s">
        <v>137</v>
      </c>
      <c r="E8" s="9" t="s">
        <v>134</v>
      </c>
      <c r="F8" s="10"/>
      <c r="G8" s="10"/>
      <c r="H8" s="11"/>
      <c r="I8" s="12" t="str">
        <f>'1.) Name of School'!D15</f>
        <v>enter email address</v>
      </c>
      <c r="J8" s="31">
        <f>IF(I8="enter email address",0,1)</f>
        <v>0</v>
      </c>
      <c r="M8" s="725" t="s">
        <v>196</v>
      </c>
      <c r="N8" s="721">
        <f>COUNTIF('6.) Quarterly Report'!O6:O9,"&gt;0")</f>
        <v>0</v>
      </c>
      <c r="O8" s="726" t="b">
        <f>IF(N8&gt;0,3)</f>
        <v>0</v>
      </c>
      <c r="P8"/>
      <c r="Q8"/>
    </row>
    <row r="9" spans="1:34" ht="19.5" thickBot="1">
      <c r="A9" s="20"/>
      <c r="B9" s="1" t="s">
        <v>138</v>
      </c>
      <c r="E9" s="9" t="s">
        <v>134</v>
      </c>
      <c r="F9" s="10"/>
      <c r="G9" s="10"/>
      <c r="H9" s="11"/>
      <c r="I9" s="12" t="str">
        <f>'1.) Name of School'!D16</f>
        <v>enter phone number</v>
      </c>
      <c r="J9" s="31">
        <f>IF(I9="enter phone number",0,1)</f>
        <v>0</v>
      </c>
      <c r="M9" s="727" t="s">
        <v>197</v>
      </c>
      <c r="N9" s="723">
        <f>COUNTIF('6.) Quarterly Report'!R6:R9,"&gt;0")</f>
        <v>0</v>
      </c>
      <c r="O9" s="728" t="b">
        <f>IF(N9&gt;0,4)</f>
        <v>0</v>
      </c>
      <c r="P9"/>
      <c r="Q9"/>
    </row>
    <row r="10" spans="1:34" ht="19.5" thickBot="1">
      <c r="A10" s="20"/>
      <c r="E10"/>
      <c r="F10"/>
      <c r="G10"/>
      <c r="H10"/>
      <c r="I10"/>
      <c r="J10" s="31"/>
      <c r="L10"/>
      <c r="M10" s="731" t="s">
        <v>507</v>
      </c>
      <c r="N10" s="732"/>
      <c r="O10" s="733">
        <f>MAX(O6:O9)</f>
        <v>0</v>
      </c>
      <c r="P10"/>
      <c r="Q10"/>
    </row>
    <row r="11" spans="1:34" ht="30.75" customHeight="1" thickBot="1">
      <c r="E11" s="26" t="s">
        <v>287</v>
      </c>
      <c r="J11" s="1"/>
      <c r="L11"/>
      <c r="M11" s="1049" t="s">
        <v>509</v>
      </c>
      <c r="N11" s="1050"/>
      <c r="O11" s="1051"/>
      <c r="P11"/>
      <c r="Q11"/>
    </row>
    <row r="12" spans="1:34" ht="15.75" thickBot="1">
      <c r="E12" s="9" t="s">
        <v>129</v>
      </c>
      <c r="F12" s="10"/>
      <c r="G12" s="10"/>
      <c r="H12" s="11"/>
      <c r="I12" s="12" t="str">
        <f>AcadYr1</f>
        <v>2024-25</v>
      </c>
      <c r="J12" s="3">
        <f>IF(I12=B15,0,1)</f>
        <v>1</v>
      </c>
      <c r="L12"/>
      <c r="M12" s="1055" t="str">
        <f>IF(QTR&gt;0,"QUARTER "&amp;QTR,"")</f>
        <v/>
      </c>
      <c r="N12" s="1056"/>
      <c r="O12" s="1057"/>
      <c r="P12"/>
      <c r="Q12"/>
    </row>
    <row r="13" spans="1:34" ht="15.75" thickBot="1">
      <c r="A13" s="29" t="s">
        <v>119</v>
      </c>
      <c r="L13"/>
      <c r="N13"/>
      <c r="O13"/>
      <c r="P13"/>
      <c r="Q13"/>
    </row>
    <row r="14" spans="1:34" s="4" customFormat="1">
      <c r="A14" s="1" t="s">
        <v>127</v>
      </c>
      <c r="B14" s="4" t="s">
        <v>126</v>
      </c>
      <c r="C14" s="3" t="s">
        <v>120</v>
      </c>
      <c r="E14" s="8" t="s">
        <v>128</v>
      </c>
      <c r="F14" s="6"/>
      <c r="G14" s="6"/>
      <c r="H14" s="6"/>
      <c r="I14" s="7"/>
      <c r="J14" s="31"/>
      <c r="L14"/>
      <c r="M14" s="924" t="s">
        <v>635</v>
      </c>
      <c r="N14" s="760"/>
      <c r="O14" s="760"/>
      <c r="P14" s="760"/>
      <c r="Q14" s="760"/>
      <c r="R14" s="925"/>
      <c r="S14"/>
      <c r="T14"/>
      <c r="U14"/>
      <c r="V14"/>
      <c r="W14"/>
      <c r="X14"/>
      <c r="Y14"/>
      <c r="Z14"/>
      <c r="AA14"/>
      <c r="AB14"/>
      <c r="AC14"/>
      <c r="AD14"/>
      <c r="AE14"/>
      <c r="AF14"/>
      <c r="AG14"/>
      <c r="AH14"/>
    </row>
    <row r="15" spans="1:34" ht="15.75" thickBot="1">
      <c r="A15" s="1">
        <v>0</v>
      </c>
      <c r="B15" s="1" t="s">
        <v>489</v>
      </c>
      <c r="C15" s="26" t="s">
        <v>569</v>
      </c>
      <c r="E15" s="5" t="s">
        <v>124</v>
      </c>
      <c r="F15" s="5" t="s">
        <v>123</v>
      </c>
      <c r="G15" s="5" t="s">
        <v>125</v>
      </c>
      <c r="H15" s="5" t="s">
        <v>121</v>
      </c>
      <c r="I15" s="5" t="s">
        <v>122</v>
      </c>
      <c r="L15"/>
      <c r="M15" s="926" t="s">
        <v>544</v>
      </c>
      <c r="N15" s="927"/>
      <c r="O15" s="927"/>
      <c r="P15" s="927"/>
      <c r="Q15" s="927"/>
      <c r="R15" s="927"/>
    </row>
    <row r="16" spans="1:34" ht="15.75" thickBot="1">
      <c r="A16" s="1">
        <v>1</v>
      </c>
      <c r="B16" s="1" t="str">
        <f t="shared" ref="B16:B24" si="0">C16&amp;"-"&amp;RIGHT(C17,2)</f>
        <v>2024-25</v>
      </c>
      <c r="C16" s="881">
        <v>2024</v>
      </c>
      <c r="E16" s="5" t="s">
        <v>103</v>
      </c>
      <c r="F16" s="5">
        <f>IFERROR(MATCH(AcadYr1,$B$16:$B$20,0),"")</f>
        <v>1</v>
      </c>
      <c r="G16" s="5" t="str">
        <f>IF(AcadYr1=B15,"",AcadYr1)</f>
        <v>2024-25</v>
      </c>
      <c r="H16" s="5">
        <f>IFERROR(VLOOKUP(F16,$A$16:$C$25,3),"")</f>
        <v>2024</v>
      </c>
      <c r="I16" s="5">
        <f>IFERROR(H16+1,"")</f>
        <v>2025</v>
      </c>
      <c r="L16"/>
      <c r="M16" s="928" t="s">
        <v>537</v>
      </c>
      <c r="N16" s="927"/>
      <c r="O16" s="927"/>
      <c r="P16" s="927"/>
      <c r="Q16" s="927"/>
      <c r="R16" s="927"/>
    </row>
    <row r="17" spans="1:18">
      <c r="A17" s="1">
        <v>2</v>
      </c>
      <c r="B17" s="1" t="str">
        <f t="shared" si="0"/>
        <v>2025-26</v>
      </c>
      <c r="C17" s="2">
        <f t="shared" ref="C17:C25" si="1">C16+1</f>
        <v>2025</v>
      </c>
      <c r="E17" s="5" t="s">
        <v>104</v>
      </c>
      <c r="F17" s="5">
        <f>IFERROR(F16+1,"")</f>
        <v>2</v>
      </c>
      <c r="G17" s="5" t="str">
        <f>IFERROR(VLOOKUP(F17,$A$16:$C$25,2),"")</f>
        <v>2025-26</v>
      </c>
      <c r="H17" s="5">
        <f>IFERROR(VLOOKUP(F17,$A$16:$C$25,3),"")</f>
        <v>2025</v>
      </c>
      <c r="I17" s="5">
        <f>IFERROR(H17+1,"")</f>
        <v>2026</v>
      </c>
      <c r="L17"/>
      <c r="M17" s="927"/>
      <c r="N17" s="927"/>
      <c r="O17" s="927"/>
      <c r="P17" s="927"/>
      <c r="Q17" s="927"/>
      <c r="R17" s="927"/>
    </row>
    <row r="18" spans="1:18">
      <c r="A18" s="1">
        <v>3</v>
      </c>
      <c r="B18" s="1" t="str">
        <f t="shared" si="0"/>
        <v>2026-27</v>
      </c>
      <c r="C18" s="2">
        <f t="shared" si="1"/>
        <v>2026</v>
      </c>
      <c r="E18" s="5" t="s">
        <v>105</v>
      </c>
      <c r="F18" s="5">
        <f>IFERROR(F17+1,"")</f>
        <v>3</v>
      </c>
      <c r="G18" s="5" t="str">
        <f>IFERROR(VLOOKUP(F18,$A$16:$C$25,2),"")</f>
        <v>2026-27</v>
      </c>
      <c r="H18" s="5">
        <f>IFERROR(VLOOKUP(F18,$A$16:$C$25,3),"")</f>
        <v>2026</v>
      </c>
      <c r="I18" s="5">
        <f>IFERROR(H18+1,"")</f>
        <v>2027</v>
      </c>
      <c r="L18"/>
      <c r="M18" s="927"/>
      <c r="N18" s="927"/>
      <c r="O18" s="927"/>
      <c r="P18" s="927"/>
      <c r="Q18" s="927"/>
      <c r="R18" s="927"/>
    </row>
    <row r="19" spans="1:18">
      <c r="A19" s="1">
        <v>4</v>
      </c>
      <c r="B19" s="1" t="str">
        <f t="shared" si="0"/>
        <v>2027-28</v>
      </c>
      <c r="C19" s="2">
        <f t="shared" si="1"/>
        <v>2027</v>
      </c>
      <c r="E19" s="5" t="s">
        <v>106</v>
      </c>
      <c r="F19" s="5">
        <f>IFERROR(F18+1,"")</f>
        <v>4</v>
      </c>
      <c r="G19" s="5" t="str">
        <f>IFERROR(VLOOKUP(F19,$A$16:$C$25,2),"")</f>
        <v>2027-28</v>
      </c>
      <c r="H19" s="5">
        <f>IFERROR(VLOOKUP(F19,$A$16:$C$25,3),"")</f>
        <v>2027</v>
      </c>
      <c r="I19" s="5">
        <f>IFERROR(H19+1,"")</f>
        <v>2028</v>
      </c>
      <c r="L19"/>
      <c r="M19" s="927"/>
      <c r="N19" s="927"/>
      <c r="O19" s="927"/>
      <c r="P19" s="927"/>
      <c r="Q19" s="927"/>
      <c r="R19" s="927"/>
    </row>
    <row r="20" spans="1:18">
      <c r="A20" s="1">
        <v>5</v>
      </c>
      <c r="B20" s="1" t="str">
        <f t="shared" si="0"/>
        <v>2028-29</v>
      </c>
      <c r="C20" s="2">
        <f t="shared" si="1"/>
        <v>2028</v>
      </c>
      <c r="E20" s="5" t="s">
        <v>107</v>
      </c>
      <c r="F20" s="5">
        <f>IFERROR(F19+1,"")</f>
        <v>5</v>
      </c>
      <c r="G20" s="5" t="str">
        <f>IFERROR(VLOOKUP(F20,$A$16:$C$25,2),"")</f>
        <v>2028-29</v>
      </c>
      <c r="H20" s="5">
        <f>IFERROR(VLOOKUP(F20,$A$16:$C$25,3),"")</f>
        <v>2028</v>
      </c>
      <c r="I20" s="5">
        <f>IFERROR(H20+1,"")</f>
        <v>2029</v>
      </c>
      <c r="M20" s="929"/>
      <c r="N20" s="929"/>
      <c r="O20" s="929"/>
      <c r="P20" s="929"/>
      <c r="Q20" s="929"/>
      <c r="R20" s="927"/>
    </row>
    <row r="21" spans="1:18">
      <c r="A21" s="1">
        <v>6</v>
      </c>
      <c r="B21" s="1" t="str">
        <f t="shared" si="0"/>
        <v>2029-30</v>
      </c>
      <c r="C21" s="2">
        <f t="shared" si="1"/>
        <v>2029</v>
      </c>
      <c r="J21" s="32"/>
      <c r="L21"/>
      <c r="M21" s="927"/>
      <c r="N21" s="929"/>
      <c r="O21" s="929"/>
      <c r="P21" s="929"/>
      <c r="Q21" s="929"/>
      <c r="R21" s="927"/>
    </row>
    <row r="22" spans="1:18">
      <c r="A22" s="1">
        <v>7</v>
      </c>
      <c r="B22" s="1" t="str">
        <f t="shared" si="0"/>
        <v>2030-31</v>
      </c>
      <c r="C22" s="2">
        <f t="shared" si="1"/>
        <v>2030</v>
      </c>
      <c r="E22" s="14" t="s">
        <v>191</v>
      </c>
      <c r="F22" s="38"/>
      <c r="G22" s="38"/>
      <c r="H22" s="38"/>
      <c r="I22" s="19" t="str">
        <f>IF(INDEX(Table2[[#All],[YrOpen]],MATCH('1.) Name of School'!D11,Table2[[#All],[SCHOOLS]],0))=VALUE(LEFT(AcadYr1,4)),"Planning Year",IFERROR(LEFT(I12,4)-1&amp;"-"&amp;MID(I12,3,2),""))</f>
        <v>2023-24</v>
      </c>
      <c r="J22" s="32"/>
      <c r="L22"/>
      <c r="M22" s="927"/>
      <c r="N22" s="929"/>
      <c r="O22" s="929"/>
      <c r="P22" s="929"/>
      <c r="Q22" s="929"/>
      <c r="R22" s="927"/>
    </row>
    <row r="23" spans="1:18">
      <c r="A23" s="1">
        <v>8</v>
      </c>
      <c r="B23" s="1" t="str">
        <f t="shared" si="0"/>
        <v>2031-32</v>
      </c>
      <c r="C23" s="2">
        <f t="shared" si="1"/>
        <v>2031</v>
      </c>
      <c r="J23" s="32"/>
      <c r="L23"/>
      <c r="M23" s="927"/>
      <c r="N23" s="929"/>
      <c r="O23" s="929"/>
      <c r="P23" s="929"/>
      <c r="Q23" s="929"/>
      <c r="R23" s="927"/>
    </row>
    <row r="24" spans="1:18">
      <c r="A24" s="1">
        <v>9</v>
      </c>
      <c r="B24" s="1" t="str">
        <f t="shared" si="0"/>
        <v>2032-33</v>
      </c>
      <c r="C24" s="2">
        <f t="shared" si="1"/>
        <v>2032</v>
      </c>
      <c r="J24" s="32"/>
      <c r="L24"/>
      <c r="M24" s="927"/>
      <c r="N24" s="929"/>
      <c r="O24" s="929"/>
      <c r="P24" s="929"/>
      <c r="Q24" s="929"/>
      <c r="R24" s="927"/>
    </row>
    <row r="25" spans="1:18">
      <c r="A25" s="1">
        <v>10</v>
      </c>
      <c r="B25" s="1" t="str">
        <f>C25&amp;"-"&amp;RIGHT(C25+1,2)</f>
        <v>2033-34</v>
      </c>
      <c r="C25" s="2">
        <f t="shared" si="1"/>
        <v>2033</v>
      </c>
      <c r="J25" s="32"/>
      <c r="L25"/>
      <c r="M25" s="927"/>
      <c r="N25" s="929"/>
      <c r="O25" s="929"/>
      <c r="P25" s="929"/>
      <c r="Q25" s="929"/>
      <c r="R25" s="927"/>
    </row>
    <row r="26" spans="1:18">
      <c r="J26" s="32"/>
      <c r="L26"/>
      <c r="M26" s="927"/>
      <c r="N26" s="929"/>
      <c r="O26" s="929"/>
      <c r="P26" s="929"/>
      <c r="Q26" s="929"/>
      <c r="R26" s="927"/>
    </row>
    <row r="27" spans="1:18">
      <c r="J27" s="32"/>
      <c r="K27"/>
      <c r="L27"/>
      <c r="M27" s="927"/>
      <c r="N27" s="929"/>
      <c r="O27" s="929"/>
      <c r="P27" s="929"/>
      <c r="Q27" s="929"/>
      <c r="R27" s="927"/>
    </row>
    <row r="28" spans="1:18">
      <c r="A28" s="29" t="s">
        <v>189</v>
      </c>
      <c r="E28" s="151"/>
      <c r="F28" s="11"/>
      <c r="G28" s="200"/>
      <c r="H28" s="11"/>
      <c r="I28" s="12"/>
    </row>
    <row r="29" spans="1:18">
      <c r="A29" s="1" t="s">
        <v>127</v>
      </c>
      <c r="B29" s="1" t="s">
        <v>131</v>
      </c>
      <c r="E29" s="13"/>
    </row>
    <row r="30" spans="1:18">
      <c r="A30" s="1">
        <v>0</v>
      </c>
      <c r="B30" s="1" t="s">
        <v>489</v>
      </c>
      <c r="E30"/>
      <c r="F30"/>
      <c r="G30"/>
      <c r="H30"/>
    </row>
    <row r="31" spans="1:18">
      <c r="A31" s="1">
        <v>1</v>
      </c>
      <c r="B31" s="1" t="s">
        <v>190</v>
      </c>
      <c r="E31"/>
      <c r="F31"/>
      <c r="G31"/>
      <c r="H31"/>
      <c r="I31"/>
    </row>
    <row r="32" spans="1:18">
      <c r="A32" s="1">
        <v>2</v>
      </c>
      <c r="B32" s="1" t="s">
        <v>190</v>
      </c>
      <c r="E32"/>
      <c r="F32"/>
      <c r="G32"/>
      <c r="H32"/>
      <c r="I32"/>
    </row>
    <row r="33" spans="1:11">
      <c r="C33"/>
    </row>
    <row r="35" spans="1:11">
      <c r="A35" s="29" t="s">
        <v>150</v>
      </c>
      <c r="E35" s="37" t="s">
        <v>151</v>
      </c>
      <c r="F35" s="38"/>
      <c r="G35" s="38"/>
      <c r="H35" s="38"/>
      <c r="I35" s="19" t="str">
        <f>MID('Funding by District'!$F$5,FIND(" 2",'Funding by District'!$F$5)+1,7)</f>
        <v>2024-25</v>
      </c>
    </row>
    <row r="36" spans="1:11">
      <c r="K36"/>
    </row>
    <row r="37" spans="1:11">
      <c r="A37" s="29" t="s">
        <v>140</v>
      </c>
      <c r="K37"/>
    </row>
    <row r="38" spans="1:11">
      <c r="A38" s="1">
        <v>1</v>
      </c>
      <c r="B38" s="15" t="s">
        <v>368</v>
      </c>
      <c r="C38" s="16"/>
      <c r="D38" s="16"/>
      <c r="E38" s="16"/>
      <c r="F38" s="16"/>
      <c r="G38" s="16"/>
      <c r="H38" s="16"/>
      <c r="I38" s="17"/>
      <c r="K38"/>
    </row>
    <row r="39" spans="1:11">
      <c r="A39" s="1">
        <v>2</v>
      </c>
      <c r="B39" s="15" t="s">
        <v>367</v>
      </c>
      <c r="C39" s="16"/>
      <c r="D39" s="16"/>
      <c r="E39" s="16"/>
      <c r="F39" s="16"/>
      <c r="G39" s="16"/>
      <c r="H39" s="16"/>
      <c r="I39" s="17"/>
      <c r="K39"/>
    </row>
    <row r="40" spans="1:11">
      <c r="A40" s="1">
        <v>3</v>
      </c>
      <c r="B40" s="194" t="s">
        <v>183</v>
      </c>
      <c r="C40" s="195"/>
      <c r="D40" s="195"/>
      <c r="E40" s="195"/>
      <c r="F40" s="195"/>
      <c r="G40" s="195"/>
      <c r="H40" s="195"/>
      <c r="I40" s="196"/>
    </row>
    <row r="42" spans="1:11">
      <c r="A42" s="29" t="s">
        <v>143</v>
      </c>
      <c r="E42" s="26" t="s">
        <v>553</v>
      </c>
    </row>
    <row r="43" spans="1:11">
      <c r="A43" s="1">
        <v>0</v>
      </c>
      <c r="B43" s="1" t="s">
        <v>490</v>
      </c>
      <c r="E43" s="786">
        <v>0</v>
      </c>
      <c r="F43" s="783" t="str">
        <f>IF(E43=2,"Budgets submitted to the Institute must be approved by the school board.
Please submit a request for an extension of the due date to charters@suny.edu.","")</f>
        <v/>
      </c>
    </row>
    <row r="44" spans="1:11">
      <c r="A44" s="1">
        <v>1</v>
      </c>
      <c r="B44" s="1" t="s">
        <v>144</v>
      </c>
      <c r="F44" s="785"/>
    </row>
    <row r="45" spans="1:11">
      <c r="A45" s="1">
        <v>2</v>
      </c>
      <c r="B45" s="1" t="s">
        <v>145</v>
      </c>
    </row>
    <row r="46" spans="1:11">
      <c r="A46" s="1">
        <v>3</v>
      </c>
      <c r="B46" s="1" t="s">
        <v>146</v>
      </c>
    </row>
    <row r="48" spans="1:11" ht="15.75" thickBot="1">
      <c r="A48" s="29" t="s">
        <v>141</v>
      </c>
    </row>
    <row r="49" spans="1:23" ht="15" customHeight="1">
      <c r="B49" s="36" t="s">
        <v>149</v>
      </c>
      <c r="D49"/>
      <c r="E49"/>
      <c r="F49"/>
      <c r="G49"/>
      <c r="H49"/>
      <c r="I49"/>
      <c r="K49"/>
      <c r="L49"/>
      <c r="M49"/>
      <c r="N49"/>
      <c r="O49"/>
      <c r="P49"/>
      <c r="Q49"/>
    </row>
    <row r="50" spans="1:23" ht="15.75" thickBot="1">
      <c r="B50" s="199" t="s">
        <v>147</v>
      </c>
      <c r="C50" s="1044" t="s">
        <v>186</v>
      </c>
      <c r="D50"/>
      <c r="E50"/>
      <c r="F50" s="441" t="s">
        <v>329</v>
      </c>
      <c r="G50"/>
      <c r="H50"/>
      <c r="I50"/>
      <c r="K50"/>
      <c r="L50" s="441" t="s">
        <v>330</v>
      </c>
      <c r="M50"/>
      <c r="N50"/>
      <c r="O50"/>
      <c r="P50"/>
      <c r="Q50"/>
      <c r="T50" s="441" t="s">
        <v>141</v>
      </c>
    </row>
    <row r="51" spans="1:23">
      <c r="B51" s="26"/>
      <c r="C51" s="1045"/>
      <c r="D51"/>
      <c r="E51" s="26" t="s">
        <v>331</v>
      </c>
      <c r="F51" s="565" t="s">
        <v>194</v>
      </c>
      <c r="G51" s="565" t="s">
        <v>195</v>
      </c>
      <c r="H51" s="565" t="s">
        <v>196</v>
      </c>
      <c r="I51" s="565" t="s">
        <v>197</v>
      </c>
      <c r="J51" s="755" t="s">
        <v>516</v>
      </c>
      <c r="K51"/>
      <c r="L51" s="565" t="s">
        <v>194</v>
      </c>
      <c r="M51" s="565" t="s">
        <v>195</v>
      </c>
      <c r="N51" s="565" t="s">
        <v>196</v>
      </c>
      <c r="O51" s="565" t="s">
        <v>197</v>
      </c>
      <c r="P51" s="755" t="s">
        <v>516</v>
      </c>
      <c r="Q51"/>
      <c r="T51" s="442" t="s">
        <v>194</v>
      </c>
      <c r="U51" s="442" t="s">
        <v>195</v>
      </c>
      <c r="V51" s="442" t="s">
        <v>196</v>
      </c>
      <c r="W51" s="442" t="s">
        <v>197</v>
      </c>
    </row>
    <row r="52" spans="1:23">
      <c r="A52" s="1">
        <v>1</v>
      </c>
      <c r="B52" s="434" t="str">
        <f>IF(OR('2.) Enrollment'!C22=$B$109,ISBLANK('2.) Enrollment'!C22)),"-",'2.) Enrollment'!C22)</f>
        <v>-</v>
      </c>
      <c r="C52" s="198">
        <f>IF(ISNA(MATCH(School,$M$15:$M$27,0)),1,0)*IFERROR(VLOOKUP($B52,'Funding by District'!$D$6:$F$683,3,FALSE),0)</f>
        <v>0</v>
      </c>
      <c r="D52"/>
      <c r="E52">
        <f>SUM(T52:W52)/4</f>
        <v>0</v>
      </c>
      <c r="F52" s="283">
        <f>$C52*'2.) Enrollment'!G22*'4.) Yearly Budget'!$J$17</f>
        <v>0</v>
      </c>
      <c r="G52" s="283">
        <f>$C52*'2.) Enrollment'!I22*'4.) Yearly Budget'!$M$17</f>
        <v>0</v>
      </c>
      <c r="H52" s="283">
        <f>$C52*'2.) Enrollment'!K22*'4.) Yearly Budget'!$P$17</f>
        <v>0</v>
      </c>
      <c r="I52" s="283">
        <f>$C52*'2.) Enrollment'!M22*'4.) Yearly Budget'!$S$17</f>
        <v>0</v>
      </c>
      <c r="J52" s="756">
        <f>SUM(F52:I52)</f>
        <v>0</v>
      </c>
      <c r="K52"/>
      <c r="L52" s="283">
        <f>$C52*'2.) Enrollment'!H22*'4.) Yearly Budget'!$K$17</f>
        <v>0</v>
      </c>
      <c r="M52" s="283">
        <f>$C52*'2.) Enrollment'!J22*'4.) Yearly Budget'!$N$17</f>
        <v>0</v>
      </c>
      <c r="N52" s="283">
        <f>$C52*'2.) Enrollment'!L22*'4.) Yearly Budget'!$Q$17</f>
        <v>0</v>
      </c>
      <c r="O52" s="283">
        <f>$C52*'2.) Enrollment'!N22*'4.) Yearly Budget'!$T$17</f>
        <v>0</v>
      </c>
      <c r="P52" s="756">
        <f>SUM(L52:O52)</f>
        <v>0</v>
      </c>
      <c r="Q52"/>
      <c r="R52">
        <f>SUM(IF(L52&gt;0,L52,F52)+IF(M52&gt;0,M52,G52)+IF(N52&gt;0,N52,H52)+IF(O52&gt;0,O52,I52))</f>
        <v>0</v>
      </c>
      <c r="T52">
        <f>IF(ISBLANK('2.) Enrollment'!H22)=TRUE,'2.) Enrollment'!G22,'2.) Enrollment'!H22)</f>
        <v>0</v>
      </c>
      <c r="U52">
        <f>IF(ISBLANK('2.) Enrollment'!J22)=TRUE,'2.) Enrollment'!I22,'2.) Enrollment'!J22)</f>
        <v>0</v>
      </c>
      <c r="V52">
        <f>IF(ISBLANK('2.) Enrollment'!L22)=TRUE,'2.) Enrollment'!K22,'2.) Enrollment'!L22)</f>
        <v>0</v>
      </c>
      <c r="W52">
        <f>IF(ISBLANK('2.) Enrollment'!N22)=TRUE,'2.) Enrollment'!M22,'2.) Enrollment'!N22)</f>
        <v>0</v>
      </c>
    </row>
    <row r="53" spans="1:23">
      <c r="A53" s="1">
        <v>2</v>
      </c>
      <c r="B53" s="434" t="str">
        <f>IF(OR('2.) Enrollment'!C23=$B$109,ISBLANK('2.) Enrollment'!C23)),"-",'2.) Enrollment'!C23)</f>
        <v>-</v>
      </c>
      <c r="C53" s="198">
        <f>IF(ISNA(MATCH(School,$M$15:$M$27,0)),1,0)*IFERROR(VLOOKUP($B53,'Funding by District'!$D$6:$F$683,3,FALSE),0)</f>
        <v>0</v>
      </c>
      <c r="D53"/>
      <c r="E53">
        <f t="shared" ref="E53:E101" si="2">SUM(T53:W53)/4</f>
        <v>0</v>
      </c>
      <c r="F53" s="283">
        <f>$C53*'2.) Enrollment'!G23*'4.) Yearly Budget'!$J$17</f>
        <v>0</v>
      </c>
      <c r="G53" s="283">
        <f>$C53*'2.) Enrollment'!I23*'4.) Yearly Budget'!$M$17</f>
        <v>0</v>
      </c>
      <c r="H53" s="283">
        <f>$C53*'2.) Enrollment'!K23*'4.) Yearly Budget'!$P$17</f>
        <v>0</v>
      </c>
      <c r="I53" s="283">
        <f>$C53*'2.) Enrollment'!M23*'4.) Yearly Budget'!$S$17</f>
        <v>0</v>
      </c>
      <c r="J53" s="756">
        <f t="shared" ref="J53:J101" si="3">SUM(F53:I53)</f>
        <v>0</v>
      </c>
      <c r="K53"/>
      <c r="L53" s="283">
        <f>$C53*'2.) Enrollment'!H23*'4.) Yearly Budget'!$K$17</f>
        <v>0</v>
      </c>
      <c r="M53" s="283">
        <f>$C53*'2.) Enrollment'!J23*'4.) Yearly Budget'!$N$17</f>
        <v>0</v>
      </c>
      <c r="N53" s="283">
        <f>$C53*'2.) Enrollment'!L23*'4.) Yearly Budget'!$Q$17</f>
        <v>0</v>
      </c>
      <c r="O53" s="283">
        <f>$C53*'2.) Enrollment'!N23*'4.) Yearly Budget'!$T$17</f>
        <v>0</v>
      </c>
      <c r="P53" s="756">
        <f t="shared" ref="P53:P101" si="4">SUM(L53:O53)</f>
        <v>0</v>
      </c>
      <c r="Q53"/>
      <c r="R53">
        <f t="shared" ref="R53:R101" si="5">SUM(IF(L53&gt;0,L53,F53)+IF(M53&gt;0,M53,G53)+IF(N53&gt;0,N53,H53)+IF(O53&gt;0,O53,I53))</f>
        <v>0</v>
      </c>
      <c r="T53">
        <f>IF(ISBLANK('2.) Enrollment'!H23)=TRUE,'2.) Enrollment'!G23,'2.) Enrollment'!H23)</f>
        <v>0</v>
      </c>
      <c r="U53">
        <f>IF(ISBLANK('2.) Enrollment'!J23)=TRUE,'2.) Enrollment'!I23,'2.) Enrollment'!J23)</f>
        <v>0</v>
      </c>
      <c r="V53">
        <f>IF(ISBLANK('2.) Enrollment'!L23)=TRUE,'2.) Enrollment'!K23,'2.) Enrollment'!L23)</f>
        <v>0</v>
      </c>
      <c r="W53">
        <f>IF(ISBLANK('2.) Enrollment'!N23)=TRUE,'2.) Enrollment'!M23,'2.) Enrollment'!N23)</f>
        <v>0</v>
      </c>
    </row>
    <row r="54" spans="1:23">
      <c r="A54" s="1">
        <v>3</v>
      </c>
      <c r="B54" s="434" t="str">
        <f>IF(OR('2.) Enrollment'!C24=$B$109,ISBLANK('2.) Enrollment'!C24)),"-",'2.) Enrollment'!C24)</f>
        <v>-</v>
      </c>
      <c r="C54" s="198">
        <f>IF(ISNA(MATCH(School,$M$15:$M$27,0)),1,0)*IFERROR(VLOOKUP($B54,'Funding by District'!$D$6:$F$683,3,FALSE),0)</f>
        <v>0</v>
      </c>
      <c r="D54"/>
      <c r="E54">
        <f t="shared" si="2"/>
        <v>0</v>
      </c>
      <c r="F54" s="283">
        <f>$C54*'2.) Enrollment'!G24*'4.) Yearly Budget'!$J$17</f>
        <v>0</v>
      </c>
      <c r="G54" s="283">
        <f>$C54*'2.) Enrollment'!I24*'4.) Yearly Budget'!$M$17</f>
        <v>0</v>
      </c>
      <c r="H54" s="283">
        <f>$C54*'2.) Enrollment'!K24*'4.) Yearly Budget'!$P$17</f>
        <v>0</v>
      </c>
      <c r="I54" s="283">
        <f>$C54*'2.) Enrollment'!M24*'4.) Yearly Budget'!$S$17</f>
        <v>0</v>
      </c>
      <c r="J54" s="756">
        <f t="shared" si="3"/>
        <v>0</v>
      </c>
      <c r="K54"/>
      <c r="L54" s="283">
        <f>$C54*'2.) Enrollment'!H24*'4.) Yearly Budget'!$K$17</f>
        <v>0</v>
      </c>
      <c r="M54" s="283">
        <f>$C54*'2.) Enrollment'!J24*'4.) Yearly Budget'!$N$17</f>
        <v>0</v>
      </c>
      <c r="N54" s="283">
        <f>$C54*'2.) Enrollment'!L24*'4.) Yearly Budget'!$Q$17</f>
        <v>0</v>
      </c>
      <c r="O54" s="283">
        <f>$C54*'2.) Enrollment'!N24*'4.) Yearly Budget'!$T$17</f>
        <v>0</v>
      </c>
      <c r="P54" s="756">
        <f t="shared" si="4"/>
        <v>0</v>
      </c>
      <c r="Q54"/>
      <c r="R54">
        <f t="shared" si="5"/>
        <v>0</v>
      </c>
      <c r="T54">
        <f>IF(ISBLANK('2.) Enrollment'!H24)=TRUE,'2.) Enrollment'!G24,'2.) Enrollment'!H24)</f>
        <v>0</v>
      </c>
      <c r="U54">
        <f>IF(ISBLANK('2.) Enrollment'!J24)=TRUE,'2.) Enrollment'!I24,'2.) Enrollment'!J24)</f>
        <v>0</v>
      </c>
      <c r="V54">
        <f>IF(ISBLANK('2.) Enrollment'!L24)=TRUE,'2.) Enrollment'!K24,'2.) Enrollment'!L24)</f>
        <v>0</v>
      </c>
      <c r="W54">
        <f>IF(ISBLANK('2.) Enrollment'!N24)=TRUE,'2.) Enrollment'!M24,'2.) Enrollment'!N24)</f>
        <v>0</v>
      </c>
    </row>
    <row r="55" spans="1:23">
      <c r="A55" s="1">
        <v>4</v>
      </c>
      <c r="B55" s="434" t="str">
        <f>IF(OR('2.) Enrollment'!C25=$B$109,ISBLANK('2.) Enrollment'!C25)),"-",'2.) Enrollment'!C25)</f>
        <v>-</v>
      </c>
      <c r="C55" s="198">
        <f>IF(ISNA(MATCH(School,$M$15:$M$27,0)),1,0)*IFERROR(VLOOKUP($B55,'Funding by District'!$D$6:$F$683,3,FALSE),0)</f>
        <v>0</v>
      </c>
      <c r="D55"/>
      <c r="E55">
        <f t="shared" si="2"/>
        <v>0</v>
      </c>
      <c r="F55" s="283">
        <f>$C55*'2.) Enrollment'!G25*'4.) Yearly Budget'!$J$17</f>
        <v>0</v>
      </c>
      <c r="G55" s="283">
        <f>$C55*'2.) Enrollment'!I25*'4.) Yearly Budget'!$M$17</f>
        <v>0</v>
      </c>
      <c r="H55" s="283">
        <f>$C55*'2.) Enrollment'!K25*'4.) Yearly Budget'!$P$17</f>
        <v>0</v>
      </c>
      <c r="I55" s="283">
        <f>$C55*'2.) Enrollment'!M25*'4.) Yearly Budget'!$S$17</f>
        <v>0</v>
      </c>
      <c r="J55" s="756">
        <f t="shared" si="3"/>
        <v>0</v>
      </c>
      <c r="K55"/>
      <c r="L55" s="283">
        <f>$C55*'2.) Enrollment'!H25*'4.) Yearly Budget'!$K$17</f>
        <v>0</v>
      </c>
      <c r="M55" s="283">
        <f>$C55*'2.) Enrollment'!J25*'4.) Yearly Budget'!$N$17</f>
        <v>0</v>
      </c>
      <c r="N55" s="283">
        <f>$C55*'2.) Enrollment'!L25*'4.) Yearly Budget'!$Q$17</f>
        <v>0</v>
      </c>
      <c r="O55" s="283">
        <f>$C55*'2.) Enrollment'!N25*'4.) Yearly Budget'!$T$17</f>
        <v>0</v>
      </c>
      <c r="P55" s="756">
        <f t="shared" si="4"/>
        <v>0</v>
      </c>
      <c r="Q55"/>
      <c r="R55">
        <f t="shared" si="5"/>
        <v>0</v>
      </c>
      <c r="T55">
        <f>IF(ISBLANK('2.) Enrollment'!H25)=TRUE,'2.) Enrollment'!G25,'2.) Enrollment'!H25)</f>
        <v>0</v>
      </c>
      <c r="U55">
        <f>IF(ISBLANK('2.) Enrollment'!J25)=TRUE,'2.) Enrollment'!I25,'2.) Enrollment'!J25)</f>
        <v>0</v>
      </c>
      <c r="V55">
        <f>IF(ISBLANK('2.) Enrollment'!L25)=TRUE,'2.) Enrollment'!K25,'2.) Enrollment'!L25)</f>
        <v>0</v>
      </c>
      <c r="W55">
        <f>IF(ISBLANK('2.) Enrollment'!N25)=TRUE,'2.) Enrollment'!M25,'2.) Enrollment'!N25)</f>
        <v>0</v>
      </c>
    </row>
    <row r="56" spans="1:23">
      <c r="A56" s="1">
        <v>5</v>
      </c>
      <c r="B56" s="434" t="str">
        <f>IF(OR('2.) Enrollment'!C26=$B$109,ISBLANK('2.) Enrollment'!C26)),"-",'2.) Enrollment'!C26)</f>
        <v>-</v>
      </c>
      <c r="C56" s="198">
        <f>IF(ISNA(MATCH(School,$M$15:$M$27,0)),1,0)*IFERROR(VLOOKUP($B56,'Funding by District'!$D$6:$F$683,3,FALSE),0)</f>
        <v>0</v>
      </c>
      <c r="D56"/>
      <c r="E56">
        <f t="shared" si="2"/>
        <v>0</v>
      </c>
      <c r="F56" s="283">
        <f>$C56*'2.) Enrollment'!G26*'4.) Yearly Budget'!$J$17</f>
        <v>0</v>
      </c>
      <c r="G56" s="283">
        <f>$C56*'2.) Enrollment'!I26*'4.) Yearly Budget'!$M$17</f>
        <v>0</v>
      </c>
      <c r="H56" s="283">
        <f>$C56*'2.) Enrollment'!K26*'4.) Yearly Budget'!$P$17</f>
        <v>0</v>
      </c>
      <c r="I56" s="283">
        <f>$C56*'2.) Enrollment'!M26*'4.) Yearly Budget'!$S$17</f>
        <v>0</v>
      </c>
      <c r="J56" s="756">
        <f t="shared" si="3"/>
        <v>0</v>
      </c>
      <c r="K56"/>
      <c r="L56" s="283">
        <f>$C56*'2.) Enrollment'!H26*'4.) Yearly Budget'!$K$17</f>
        <v>0</v>
      </c>
      <c r="M56" s="283">
        <f>$C56*'2.) Enrollment'!J26*'4.) Yearly Budget'!$N$17</f>
        <v>0</v>
      </c>
      <c r="N56" s="283">
        <f>$C56*'2.) Enrollment'!L26*'4.) Yearly Budget'!$Q$17</f>
        <v>0</v>
      </c>
      <c r="O56" s="283">
        <f>$C56*'2.) Enrollment'!N26*'4.) Yearly Budget'!$T$17</f>
        <v>0</v>
      </c>
      <c r="P56" s="756">
        <f t="shared" si="4"/>
        <v>0</v>
      </c>
      <c r="Q56"/>
      <c r="R56">
        <f t="shared" si="5"/>
        <v>0</v>
      </c>
      <c r="T56">
        <f>IF(ISBLANK('2.) Enrollment'!H26)=TRUE,'2.) Enrollment'!G26,'2.) Enrollment'!H26)</f>
        <v>0</v>
      </c>
      <c r="U56">
        <f>IF(ISBLANK('2.) Enrollment'!J26)=TRUE,'2.) Enrollment'!I26,'2.) Enrollment'!J26)</f>
        <v>0</v>
      </c>
      <c r="V56">
        <f>IF(ISBLANK('2.) Enrollment'!L26)=TRUE,'2.) Enrollment'!K26,'2.) Enrollment'!L26)</f>
        <v>0</v>
      </c>
      <c r="W56">
        <f>IF(ISBLANK('2.) Enrollment'!N26)=TRUE,'2.) Enrollment'!M26,'2.) Enrollment'!N26)</f>
        <v>0</v>
      </c>
    </row>
    <row r="57" spans="1:23">
      <c r="A57" s="1">
        <v>6</v>
      </c>
      <c r="B57" s="434" t="str">
        <f>IF(OR('2.) Enrollment'!C27=$B$109,ISBLANK('2.) Enrollment'!C27)),"-",'2.) Enrollment'!C27)</f>
        <v>-</v>
      </c>
      <c r="C57" s="198">
        <f>IF(ISNA(MATCH(School,$M$15:$M$27,0)),1,0)*IFERROR(VLOOKUP($B57,'Funding by District'!$D$6:$F$683,3,FALSE),0)</f>
        <v>0</v>
      </c>
      <c r="D57"/>
      <c r="E57">
        <f t="shared" si="2"/>
        <v>0</v>
      </c>
      <c r="F57" s="283">
        <f>$C57*'2.) Enrollment'!G27*'4.) Yearly Budget'!$J$17</f>
        <v>0</v>
      </c>
      <c r="G57" s="283">
        <f>$C57*'2.) Enrollment'!I27*'4.) Yearly Budget'!$M$17</f>
        <v>0</v>
      </c>
      <c r="H57" s="283">
        <f>$C57*'2.) Enrollment'!K27*'4.) Yearly Budget'!$P$17</f>
        <v>0</v>
      </c>
      <c r="I57" s="283">
        <f>$C57*'2.) Enrollment'!M27*'4.) Yearly Budget'!$S$17</f>
        <v>0</v>
      </c>
      <c r="J57" s="756">
        <f t="shared" si="3"/>
        <v>0</v>
      </c>
      <c r="K57"/>
      <c r="L57" s="283">
        <f>$C57*'2.) Enrollment'!H27*'4.) Yearly Budget'!$K$17</f>
        <v>0</v>
      </c>
      <c r="M57" s="283">
        <f>$C57*'2.) Enrollment'!J27*'4.) Yearly Budget'!$N$17</f>
        <v>0</v>
      </c>
      <c r="N57" s="283">
        <f>$C57*'2.) Enrollment'!L27*'4.) Yearly Budget'!$Q$17</f>
        <v>0</v>
      </c>
      <c r="O57" s="283">
        <f>$C57*'2.) Enrollment'!N27*'4.) Yearly Budget'!$T$17</f>
        <v>0</v>
      </c>
      <c r="P57" s="756">
        <f t="shared" si="4"/>
        <v>0</v>
      </c>
      <c r="Q57"/>
      <c r="R57">
        <f t="shared" si="5"/>
        <v>0</v>
      </c>
      <c r="T57">
        <f>IF(ISBLANK('2.) Enrollment'!H27)=TRUE,'2.) Enrollment'!G27,'2.) Enrollment'!H27)</f>
        <v>0</v>
      </c>
      <c r="U57">
        <f>IF(ISBLANK('2.) Enrollment'!J27)=TRUE,'2.) Enrollment'!I27,'2.) Enrollment'!J27)</f>
        <v>0</v>
      </c>
      <c r="V57">
        <f>IF(ISBLANK('2.) Enrollment'!L27)=TRUE,'2.) Enrollment'!K27,'2.) Enrollment'!L27)</f>
        <v>0</v>
      </c>
      <c r="W57">
        <f>IF(ISBLANK('2.) Enrollment'!N27)=TRUE,'2.) Enrollment'!M27,'2.) Enrollment'!N27)</f>
        <v>0</v>
      </c>
    </row>
    <row r="58" spans="1:23">
      <c r="A58" s="1">
        <v>7</v>
      </c>
      <c r="B58" s="434" t="str">
        <f>IF(OR('2.) Enrollment'!C28=$B$109,ISBLANK('2.) Enrollment'!C28)),"-",'2.) Enrollment'!C28)</f>
        <v>-</v>
      </c>
      <c r="C58" s="198">
        <f>IF(ISNA(MATCH(School,$M$15:$M$27,0)),1,0)*IFERROR(VLOOKUP($B58,'Funding by District'!$D$6:$F$683,3,FALSE),0)</f>
        <v>0</v>
      </c>
      <c r="D58"/>
      <c r="E58">
        <f t="shared" si="2"/>
        <v>0</v>
      </c>
      <c r="F58" s="283">
        <f>$C58*'2.) Enrollment'!G28*'4.) Yearly Budget'!$J$17</f>
        <v>0</v>
      </c>
      <c r="G58" s="283">
        <f>$C58*'2.) Enrollment'!I28*'4.) Yearly Budget'!$M$17</f>
        <v>0</v>
      </c>
      <c r="H58" s="283">
        <f>$C58*'2.) Enrollment'!K28*'4.) Yearly Budget'!$P$17</f>
        <v>0</v>
      </c>
      <c r="I58" s="283">
        <f>$C58*'2.) Enrollment'!M28*'4.) Yearly Budget'!$S$17</f>
        <v>0</v>
      </c>
      <c r="J58" s="756">
        <f t="shared" si="3"/>
        <v>0</v>
      </c>
      <c r="K58"/>
      <c r="L58" s="283">
        <f>$C58*'2.) Enrollment'!H28*'4.) Yearly Budget'!$K$17</f>
        <v>0</v>
      </c>
      <c r="M58" s="283">
        <f>$C58*'2.) Enrollment'!J28*'4.) Yearly Budget'!$N$17</f>
        <v>0</v>
      </c>
      <c r="N58" s="283">
        <f>$C58*'2.) Enrollment'!L28*'4.) Yearly Budget'!$Q$17</f>
        <v>0</v>
      </c>
      <c r="O58" s="283">
        <f>$C58*'2.) Enrollment'!N28*'4.) Yearly Budget'!$T$17</f>
        <v>0</v>
      </c>
      <c r="P58" s="756">
        <f t="shared" si="4"/>
        <v>0</v>
      </c>
      <c r="Q58"/>
      <c r="R58">
        <f t="shared" si="5"/>
        <v>0</v>
      </c>
      <c r="T58">
        <f>IF(ISBLANK('2.) Enrollment'!H28)=TRUE,'2.) Enrollment'!G28,'2.) Enrollment'!H28)</f>
        <v>0</v>
      </c>
      <c r="U58">
        <f>IF(ISBLANK('2.) Enrollment'!J28)=TRUE,'2.) Enrollment'!I28,'2.) Enrollment'!J28)</f>
        <v>0</v>
      </c>
      <c r="V58">
        <f>IF(ISBLANK('2.) Enrollment'!L28)=TRUE,'2.) Enrollment'!K28,'2.) Enrollment'!L28)</f>
        <v>0</v>
      </c>
      <c r="W58">
        <f>IF(ISBLANK('2.) Enrollment'!N28)=TRUE,'2.) Enrollment'!M28,'2.) Enrollment'!N28)</f>
        <v>0</v>
      </c>
    </row>
    <row r="59" spans="1:23">
      <c r="A59" s="1">
        <v>8</v>
      </c>
      <c r="B59" s="434" t="str">
        <f>IF(OR('2.) Enrollment'!C29=$B$109,ISBLANK('2.) Enrollment'!C29)),"-",'2.) Enrollment'!C29)</f>
        <v>-</v>
      </c>
      <c r="C59" s="198">
        <f>IF(ISNA(MATCH(School,$M$15:$M$27,0)),1,0)*IFERROR(VLOOKUP($B59,'Funding by District'!$D$6:$F$683,3,FALSE),0)</f>
        <v>0</v>
      </c>
      <c r="D59"/>
      <c r="E59">
        <f t="shared" si="2"/>
        <v>0</v>
      </c>
      <c r="F59" s="283">
        <f>$C59*'2.) Enrollment'!G29*'4.) Yearly Budget'!$J$17</f>
        <v>0</v>
      </c>
      <c r="G59" s="283">
        <f>$C59*'2.) Enrollment'!I29*'4.) Yearly Budget'!$M$17</f>
        <v>0</v>
      </c>
      <c r="H59" s="283">
        <f>$C59*'2.) Enrollment'!K29*'4.) Yearly Budget'!$P$17</f>
        <v>0</v>
      </c>
      <c r="I59" s="283">
        <f>$C59*'2.) Enrollment'!M29*'4.) Yearly Budget'!$S$17</f>
        <v>0</v>
      </c>
      <c r="J59" s="756">
        <f t="shared" si="3"/>
        <v>0</v>
      </c>
      <c r="K59"/>
      <c r="L59" s="283">
        <f>$C59*'2.) Enrollment'!H29*'4.) Yearly Budget'!$K$17</f>
        <v>0</v>
      </c>
      <c r="M59" s="283">
        <f>$C59*'2.) Enrollment'!J29*'4.) Yearly Budget'!$N$17</f>
        <v>0</v>
      </c>
      <c r="N59" s="283">
        <f>$C59*'2.) Enrollment'!L29*'4.) Yearly Budget'!$Q$17</f>
        <v>0</v>
      </c>
      <c r="O59" s="283">
        <f>$C59*'2.) Enrollment'!N29*'4.) Yearly Budget'!$T$17</f>
        <v>0</v>
      </c>
      <c r="P59" s="756">
        <f t="shared" si="4"/>
        <v>0</v>
      </c>
      <c r="Q59"/>
      <c r="R59">
        <f t="shared" si="5"/>
        <v>0</v>
      </c>
      <c r="T59">
        <f>IF(ISBLANK('2.) Enrollment'!H29)=TRUE,'2.) Enrollment'!G29,'2.) Enrollment'!H29)</f>
        <v>0</v>
      </c>
      <c r="U59">
        <f>IF(ISBLANK('2.) Enrollment'!J29)=TRUE,'2.) Enrollment'!I29,'2.) Enrollment'!J29)</f>
        <v>0</v>
      </c>
      <c r="V59">
        <f>IF(ISBLANK('2.) Enrollment'!L29)=TRUE,'2.) Enrollment'!K29,'2.) Enrollment'!L29)</f>
        <v>0</v>
      </c>
      <c r="W59">
        <f>IF(ISBLANK('2.) Enrollment'!N29)=TRUE,'2.) Enrollment'!M29,'2.) Enrollment'!N29)</f>
        <v>0</v>
      </c>
    </row>
    <row r="60" spans="1:23">
      <c r="A60" s="1">
        <v>9</v>
      </c>
      <c r="B60" s="434" t="str">
        <f>IF(OR('2.) Enrollment'!C30=$B$109,ISBLANK('2.) Enrollment'!C30)),"-",'2.) Enrollment'!C30)</f>
        <v>-</v>
      </c>
      <c r="C60" s="198">
        <f>IF(ISNA(MATCH(School,$M$15:$M$27,0)),1,0)*IFERROR(VLOOKUP($B60,'Funding by District'!$D$6:$F$683,3,FALSE),0)</f>
        <v>0</v>
      </c>
      <c r="D60"/>
      <c r="E60">
        <f t="shared" si="2"/>
        <v>0</v>
      </c>
      <c r="F60" s="283">
        <f>$C60*'2.) Enrollment'!G30*'4.) Yearly Budget'!$J$17</f>
        <v>0</v>
      </c>
      <c r="G60" s="283">
        <f>$C60*'2.) Enrollment'!I30*'4.) Yearly Budget'!$M$17</f>
        <v>0</v>
      </c>
      <c r="H60" s="283">
        <f>$C60*'2.) Enrollment'!K30*'4.) Yearly Budget'!$P$17</f>
        <v>0</v>
      </c>
      <c r="I60" s="283">
        <f>$C60*'2.) Enrollment'!M30*'4.) Yearly Budget'!$S$17</f>
        <v>0</v>
      </c>
      <c r="J60" s="756">
        <f t="shared" si="3"/>
        <v>0</v>
      </c>
      <c r="K60"/>
      <c r="L60" s="283">
        <f>$C60*'2.) Enrollment'!H30*'4.) Yearly Budget'!$K$17</f>
        <v>0</v>
      </c>
      <c r="M60" s="283">
        <f>$C60*'2.) Enrollment'!J30*'4.) Yearly Budget'!$N$17</f>
        <v>0</v>
      </c>
      <c r="N60" s="283">
        <f>$C60*'2.) Enrollment'!L30*'4.) Yearly Budget'!$Q$17</f>
        <v>0</v>
      </c>
      <c r="O60" s="283">
        <f>$C60*'2.) Enrollment'!N30*'4.) Yearly Budget'!$T$17</f>
        <v>0</v>
      </c>
      <c r="P60" s="756">
        <f t="shared" si="4"/>
        <v>0</v>
      </c>
      <c r="Q60"/>
      <c r="R60">
        <f t="shared" si="5"/>
        <v>0</v>
      </c>
      <c r="T60">
        <f>IF(ISBLANK('2.) Enrollment'!H30)=TRUE,'2.) Enrollment'!G30,'2.) Enrollment'!H30)</f>
        <v>0</v>
      </c>
      <c r="U60">
        <f>IF(ISBLANK('2.) Enrollment'!J30)=TRUE,'2.) Enrollment'!I30,'2.) Enrollment'!J30)</f>
        <v>0</v>
      </c>
      <c r="V60">
        <f>IF(ISBLANK('2.) Enrollment'!L30)=TRUE,'2.) Enrollment'!K30,'2.) Enrollment'!L30)</f>
        <v>0</v>
      </c>
      <c r="W60">
        <f>IF(ISBLANK('2.) Enrollment'!N30)=TRUE,'2.) Enrollment'!M30,'2.) Enrollment'!N30)</f>
        <v>0</v>
      </c>
    </row>
    <row r="61" spans="1:23">
      <c r="A61" s="1">
        <v>10</v>
      </c>
      <c r="B61" s="434" t="str">
        <f>IF(OR('2.) Enrollment'!C31=$B$109,ISBLANK('2.) Enrollment'!C31)),"-",'2.) Enrollment'!C31)</f>
        <v>-</v>
      </c>
      <c r="C61" s="198">
        <f>IF(ISNA(MATCH(School,$M$15:$M$27,0)),1,0)*IFERROR(VLOOKUP($B61,'Funding by District'!$D$6:$F$683,3,FALSE),0)</f>
        <v>0</v>
      </c>
      <c r="D61"/>
      <c r="E61">
        <f t="shared" si="2"/>
        <v>0</v>
      </c>
      <c r="F61" s="283">
        <f>$C61*'2.) Enrollment'!G31*'4.) Yearly Budget'!$J$17</f>
        <v>0</v>
      </c>
      <c r="G61" s="283">
        <f>$C61*'2.) Enrollment'!I31*'4.) Yearly Budget'!$M$17</f>
        <v>0</v>
      </c>
      <c r="H61" s="283">
        <f>$C61*'2.) Enrollment'!K31*'4.) Yearly Budget'!$P$17</f>
        <v>0</v>
      </c>
      <c r="I61" s="283">
        <f>$C61*'2.) Enrollment'!M31*'4.) Yearly Budget'!$S$17</f>
        <v>0</v>
      </c>
      <c r="J61" s="756">
        <f t="shared" si="3"/>
        <v>0</v>
      </c>
      <c r="K61"/>
      <c r="L61" s="283">
        <f>$C61*'2.) Enrollment'!H31*'4.) Yearly Budget'!$K$17</f>
        <v>0</v>
      </c>
      <c r="M61" s="283">
        <f>$C61*'2.) Enrollment'!J31*'4.) Yearly Budget'!$N$17</f>
        <v>0</v>
      </c>
      <c r="N61" s="283">
        <f>$C61*'2.) Enrollment'!L31*'4.) Yearly Budget'!$Q$17</f>
        <v>0</v>
      </c>
      <c r="O61" s="283">
        <f>$C61*'2.) Enrollment'!N31*'4.) Yearly Budget'!$T$17</f>
        <v>0</v>
      </c>
      <c r="P61" s="756">
        <f t="shared" si="4"/>
        <v>0</v>
      </c>
      <c r="Q61"/>
      <c r="R61">
        <f t="shared" si="5"/>
        <v>0</v>
      </c>
      <c r="T61">
        <f>IF(ISBLANK('2.) Enrollment'!H31)=TRUE,'2.) Enrollment'!G31,'2.) Enrollment'!H31)</f>
        <v>0</v>
      </c>
      <c r="U61">
        <f>IF(ISBLANK('2.) Enrollment'!J31)=TRUE,'2.) Enrollment'!I31,'2.) Enrollment'!J31)</f>
        <v>0</v>
      </c>
      <c r="V61">
        <f>IF(ISBLANK('2.) Enrollment'!L31)=TRUE,'2.) Enrollment'!K31,'2.) Enrollment'!L31)</f>
        <v>0</v>
      </c>
      <c r="W61">
        <f>IF(ISBLANK('2.) Enrollment'!N31)=TRUE,'2.) Enrollment'!M31,'2.) Enrollment'!N31)</f>
        <v>0</v>
      </c>
    </row>
    <row r="62" spans="1:23">
      <c r="A62" s="1">
        <v>11</v>
      </c>
      <c r="B62" s="434" t="str">
        <f>IF(OR('2.) Enrollment'!C32=$B$109,ISBLANK('2.) Enrollment'!C32)),"-",'2.) Enrollment'!C32)</f>
        <v>-</v>
      </c>
      <c r="C62" s="198">
        <f>IF(ISNA(MATCH(School,$M$15:$M$27,0)),1,0)*IFERROR(VLOOKUP($B62,'Funding by District'!$D$6:$F$683,3,FALSE),0)</f>
        <v>0</v>
      </c>
      <c r="D62"/>
      <c r="E62">
        <f t="shared" si="2"/>
        <v>0</v>
      </c>
      <c r="F62" s="283">
        <f>$C62*'2.) Enrollment'!G32*'4.) Yearly Budget'!$J$17</f>
        <v>0</v>
      </c>
      <c r="G62" s="283">
        <f>$C62*'2.) Enrollment'!I32*'4.) Yearly Budget'!$M$17</f>
        <v>0</v>
      </c>
      <c r="H62" s="283">
        <f>$C62*'2.) Enrollment'!K32*'4.) Yearly Budget'!$P$17</f>
        <v>0</v>
      </c>
      <c r="I62" s="283">
        <f>$C62*'2.) Enrollment'!M32*'4.) Yearly Budget'!$S$17</f>
        <v>0</v>
      </c>
      <c r="J62" s="756">
        <f t="shared" si="3"/>
        <v>0</v>
      </c>
      <c r="K62"/>
      <c r="L62" s="283">
        <f>$C62*'2.) Enrollment'!H32*'4.) Yearly Budget'!$K$17</f>
        <v>0</v>
      </c>
      <c r="M62" s="283">
        <f>$C62*'2.) Enrollment'!J32*'4.) Yearly Budget'!$N$17</f>
        <v>0</v>
      </c>
      <c r="N62" s="283">
        <f>$C62*'2.) Enrollment'!L32*'4.) Yearly Budget'!$Q$17</f>
        <v>0</v>
      </c>
      <c r="O62" s="283">
        <f>$C62*'2.) Enrollment'!N32*'4.) Yearly Budget'!$T$17</f>
        <v>0</v>
      </c>
      <c r="P62" s="756">
        <f t="shared" si="4"/>
        <v>0</v>
      </c>
      <c r="Q62"/>
      <c r="R62">
        <f t="shared" si="5"/>
        <v>0</v>
      </c>
      <c r="T62">
        <f>IF(ISBLANK('2.) Enrollment'!H32)=TRUE,'2.) Enrollment'!G32,'2.) Enrollment'!H32)</f>
        <v>0</v>
      </c>
      <c r="U62">
        <f>IF(ISBLANK('2.) Enrollment'!J32)=TRUE,'2.) Enrollment'!I32,'2.) Enrollment'!J32)</f>
        <v>0</v>
      </c>
      <c r="V62">
        <f>IF(ISBLANK('2.) Enrollment'!L32)=TRUE,'2.) Enrollment'!K32,'2.) Enrollment'!L32)</f>
        <v>0</v>
      </c>
      <c r="W62">
        <f>IF(ISBLANK('2.) Enrollment'!N32)=TRUE,'2.) Enrollment'!M32,'2.) Enrollment'!N32)</f>
        <v>0</v>
      </c>
    </row>
    <row r="63" spans="1:23">
      <c r="A63" s="1">
        <v>12</v>
      </c>
      <c r="B63" s="434" t="str">
        <f>IF(OR('2.) Enrollment'!C33=$B$109,ISBLANK('2.) Enrollment'!C33)),"-",'2.) Enrollment'!C33)</f>
        <v>-</v>
      </c>
      <c r="C63" s="198">
        <f>IF(ISNA(MATCH(School,$M$15:$M$27,0)),1,0)*IFERROR(VLOOKUP($B63,'Funding by District'!$D$6:$F$683,3,FALSE),0)</f>
        <v>0</v>
      </c>
      <c r="D63"/>
      <c r="E63">
        <f t="shared" si="2"/>
        <v>0</v>
      </c>
      <c r="F63" s="283">
        <f>$C63*'2.) Enrollment'!G33*'4.) Yearly Budget'!$J$17</f>
        <v>0</v>
      </c>
      <c r="G63" s="283">
        <f>$C63*'2.) Enrollment'!I33*'4.) Yearly Budget'!$M$17</f>
        <v>0</v>
      </c>
      <c r="H63" s="283">
        <f>$C63*'2.) Enrollment'!K33*'4.) Yearly Budget'!$P$17</f>
        <v>0</v>
      </c>
      <c r="I63" s="283">
        <f>$C63*'2.) Enrollment'!M33*'4.) Yearly Budget'!$S$17</f>
        <v>0</v>
      </c>
      <c r="J63" s="756">
        <f t="shared" si="3"/>
        <v>0</v>
      </c>
      <c r="K63"/>
      <c r="L63" s="283">
        <f>$C63*'2.) Enrollment'!H33*'4.) Yearly Budget'!$K$17</f>
        <v>0</v>
      </c>
      <c r="M63" s="283">
        <f>$C63*'2.) Enrollment'!J33*'4.) Yearly Budget'!$N$17</f>
        <v>0</v>
      </c>
      <c r="N63" s="283">
        <f>$C63*'2.) Enrollment'!L33*'4.) Yearly Budget'!$Q$17</f>
        <v>0</v>
      </c>
      <c r="O63" s="283">
        <f>$C63*'2.) Enrollment'!N33*'4.) Yearly Budget'!$T$17</f>
        <v>0</v>
      </c>
      <c r="P63" s="756">
        <f t="shared" si="4"/>
        <v>0</v>
      </c>
      <c r="Q63"/>
      <c r="R63">
        <f t="shared" si="5"/>
        <v>0</v>
      </c>
      <c r="T63">
        <f>IF(ISBLANK('2.) Enrollment'!H33)=TRUE,'2.) Enrollment'!G33,'2.) Enrollment'!H33)</f>
        <v>0</v>
      </c>
      <c r="U63">
        <f>IF(ISBLANK('2.) Enrollment'!J33)=TRUE,'2.) Enrollment'!I33,'2.) Enrollment'!J33)</f>
        <v>0</v>
      </c>
      <c r="V63">
        <f>IF(ISBLANK('2.) Enrollment'!L33)=TRUE,'2.) Enrollment'!K33,'2.) Enrollment'!L33)</f>
        <v>0</v>
      </c>
      <c r="W63">
        <f>IF(ISBLANK('2.) Enrollment'!N33)=TRUE,'2.) Enrollment'!M33,'2.) Enrollment'!N33)</f>
        <v>0</v>
      </c>
    </row>
    <row r="64" spans="1:23">
      <c r="A64" s="1">
        <v>13</v>
      </c>
      <c r="B64" s="434" t="str">
        <f>IF(OR('2.) Enrollment'!C34=$B$109,ISBLANK('2.) Enrollment'!C34)),"-",'2.) Enrollment'!C34)</f>
        <v>-</v>
      </c>
      <c r="C64" s="198">
        <f>IF(ISNA(MATCH(School,$M$15:$M$27,0)),1,0)*IFERROR(VLOOKUP($B64,'Funding by District'!$D$6:$F$683,3,FALSE),0)</f>
        <v>0</v>
      </c>
      <c r="D64"/>
      <c r="E64">
        <f t="shared" si="2"/>
        <v>0</v>
      </c>
      <c r="F64" s="283">
        <f>$C64*'2.) Enrollment'!G34*'4.) Yearly Budget'!$J$17</f>
        <v>0</v>
      </c>
      <c r="G64" s="283">
        <f>$C64*'2.) Enrollment'!I34*'4.) Yearly Budget'!$M$17</f>
        <v>0</v>
      </c>
      <c r="H64" s="283">
        <f>$C64*'2.) Enrollment'!K34*'4.) Yearly Budget'!$P$17</f>
        <v>0</v>
      </c>
      <c r="I64" s="283">
        <f>$C64*'2.) Enrollment'!M34*'4.) Yearly Budget'!$S$17</f>
        <v>0</v>
      </c>
      <c r="J64" s="756">
        <f t="shared" si="3"/>
        <v>0</v>
      </c>
      <c r="K64"/>
      <c r="L64" s="283">
        <f>$C64*'2.) Enrollment'!H34*'4.) Yearly Budget'!$K$17</f>
        <v>0</v>
      </c>
      <c r="M64" s="283">
        <f>$C64*'2.) Enrollment'!J34*'4.) Yearly Budget'!$N$17</f>
        <v>0</v>
      </c>
      <c r="N64" s="283">
        <f>$C64*'2.) Enrollment'!L34*'4.) Yearly Budget'!$Q$17</f>
        <v>0</v>
      </c>
      <c r="O64" s="283">
        <f>$C64*'2.) Enrollment'!N34*'4.) Yearly Budget'!$T$17</f>
        <v>0</v>
      </c>
      <c r="P64" s="756">
        <f t="shared" si="4"/>
        <v>0</v>
      </c>
      <c r="Q64"/>
      <c r="R64">
        <f t="shared" si="5"/>
        <v>0</v>
      </c>
      <c r="T64">
        <f>IF(ISBLANK('2.) Enrollment'!H34)=TRUE,'2.) Enrollment'!G34,'2.) Enrollment'!H34)</f>
        <v>0</v>
      </c>
      <c r="U64">
        <f>IF(ISBLANK('2.) Enrollment'!J34)=TRUE,'2.) Enrollment'!I34,'2.) Enrollment'!J34)</f>
        <v>0</v>
      </c>
      <c r="V64">
        <f>IF(ISBLANK('2.) Enrollment'!L34)=TRUE,'2.) Enrollment'!K34,'2.) Enrollment'!L34)</f>
        <v>0</v>
      </c>
      <c r="W64">
        <f>IF(ISBLANK('2.) Enrollment'!N34)=TRUE,'2.) Enrollment'!M34,'2.) Enrollment'!N34)</f>
        <v>0</v>
      </c>
    </row>
    <row r="65" spans="1:23">
      <c r="A65" s="1">
        <v>14</v>
      </c>
      <c r="B65" s="434" t="str">
        <f>IF(OR('2.) Enrollment'!C35=$B$109,ISBLANK('2.) Enrollment'!C35)),"-",'2.) Enrollment'!C35)</f>
        <v>-</v>
      </c>
      <c r="C65" s="198">
        <f>IF(ISNA(MATCH(School,$M$15:$M$27,0)),1,0)*IFERROR(VLOOKUP($B65,'Funding by District'!$D$6:$F$683,3,FALSE),0)</f>
        <v>0</v>
      </c>
      <c r="D65"/>
      <c r="E65">
        <f t="shared" si="2"/>
        <v>0</v>
      </c>
      <c r="F65" s="283">
        <f>$C65*'2.) Enrollment'!G35*'4.) Yearly Budget'!$J$17</f>
        <v>0</v>
      </c>
      <c r="G65" s="283">
        <f>$C65*'2.) Enrollment'!I35*'4.) Yearly Budget'!$M$17</f>
        <v>0</v>
      </c>
      <c r="H65" s="283">
        <f>$C65*'2.) Enrollment'!K35*'4.) Yearly Budget'!$P$17</f>
        <v>0</v>
      </c>
      <c r="I65" s="283">
        <f>$C65*'2.) Enrollment'!M35*'4.) Yearly Budget'!$S$17</f>
        <v>0</v>
      </c>
      <c r="J65" s="756">
        <f t="shared" si="3"/>
        <v>0</v>
      </c>
      <c r="K65"/>
      <c r="L65" s="283">
        <f>$C65*'2.) Enrollment'!H35*'4.) Yearly Budget'!$K$17</f>
        <v>0</v>
      </c>
      <c r="M65" s="283">
        <f>$C65*'2.) Enrollment'!J35*'4.) Yearly Budget'!$N$17</f>
        <v>0</v>
      </c>
      <c r="N65" s="283">
        <f>$C65*'2.) Enrollment'!L35*'4.) Yearly Budget'!$Q$17</f>
        <v>0</v>
      </c>
      <c r="O65" s="283">
        <f>$C65*'2.) Enrollment'!N35*'4.) Yearly Budget'!$T$17</f>
        <v>0</v>
      </c>
      <c r="P65" s="756">
        <f t="shared" si="4"/>
        <v>0</v>
      </c>
      <c r="Q65"/>
      <c r="R65">
        <f t="shared" si="5"/>
        <v>0</v>
      </c>
      <c r="T65">
        <f>IF(ISBLANK('2.) Enrollment'!H35)=TRUE,'2.) Enrollment'!G35,'2.) Enrollment'!H35)</f>
        <v>0</v>
      </c>
      <c r="U65">
        <f>IF(ISBLANK('2.) Enrollment'!J35)=TRUE,'2.) Enrollment'!I35,'2.) Enrollment'!J35)</f>
        <v>0</v>
      </c>
      <c r="V65">
        <f>IF(ISBLANK('2.) Enrollment'!L35)=TRUE,'2.) Enrollment'!K35,'2.) Enrollment'!L35)</f>
        <v>0</v>
      </c>
      <c r="W65">
        <f>IF(ISBLANK('2.) Enrollment'!N35)=TRUE,'2.) Enrollment'!M35,'2.) Enrollment'!N35)</f>
        <v>0</v>
      </c>
    </row>
    <row r="66" spans="1:23" ht="15.75" thickBot="1">
      <c r="A66" s="171">
        <v>15</v>
      </c>
      <c r="B66" s="439" t="str">
        <f>IF(OR('2.) Enrollment'!C36=$B$109,ISBLANK('2.) Enrollment'!C36)),"-",'2.) Enrollment'!C36)</f>
        <v>-</v>
      </c>
      <c r="C66" s="198">
        <f>IF(ISNA(MATCH(School,$M$15:$M$27,0)),1,0)*IFERROR(VLOOKUP($B66,'Funding by District'!$D$6:$F$683,3,FALSE),0)</f>
        <v>0</v>
      </c>
      <c r="D66" s="444"/>
      <c r="E66" s="564">
        <f t="shared" si="2"/>
        <v>0</v>
      </c>
      <c r="F66" s="563">
        <f>$C66*'2.) Enrollment'!G36*'4.) Yearly Budget'!$J$17</f>
        <v>0</v>
      </c>
      <c r="G66" s="563">
        <f>$C66*'2.) Enrollment'!I36*'4.) Yearly Budget'!$M$17</f>
        <v>0</v>
      </c>
      <c r="H66" s="563">
        <f>$C66*'2.) Enrollment'!K36*'4.) Yearly Budget'!$P$17</f>
        <v>0</v>
      </c>
      <c r="I66" s="563">
        <f>$C66*'2.) Enrollment'!M36*'4.) Yearly Budget'!$S$17</f>
        <v>0</v>
      </c>
      <c r="J66" s="757">
        <f t="shared" si="3"/>
        <v>0</v>
      </c>
      <c r="K66" s="564"/>
      <c r="L66" s="563">
        <f>$C66*'2.) Enrollment'!H36*'4.) Yearly Budget'!$K$17</f>
        <v>0</v>
      </c>
      <c r="M66" s="563">
        <f>$C66*'2.) Enrollment'!J36*'4.) Yearly Budget'!$N$17</f>
        <v>0</v>
      </c>
      <c r="N66" s="563">
        <f>$C66*'2.) Enrollment'!L36*'4.) Yearly Budget'!$Q$17</f>
        <v>0</v>
      </c>
      <c r="O66" s="563">
        <f>$C66*'2.) Enrollment'!N36*'4.) Yearly Budget'!$T$17</f>
        <v>0</v>
      </c>
      <c r="P66" s="757">
        <f t="shared" si="4"/>
        <v>0</v>
      </c>
      <c r="Q66" s="564"/>
      <c r="R66">
        <f t="shared" si="5"/>
        <v>0</v>
      </c>
      <c r="S66" s="564"/>
      <c r="T66" s="564">
        <f>IF(ISBLANK('2.) Enrollment'!H36)=TRUE,'2.) Enrollment'!G36,'2.) Enrollment'!H36)</f>
        <v>0</v>
      </c>
      <c r="U66" s="564">
        <f>IF(ISBLANK('2.) Enrollment'!J36)=TRUE,'2.) Enrollment'!I36,'2.) Enrollment'!J36)</f>
        <v>0</v>
      </c>
      <c r="V66" s="564">
        <f>IF(ISBLANK('2.) Enrollment'!L36)=TRUE,'2.) Enrollment'!K36,'2.) Enrollment'!L36)</f>
        <v>0</v>
      </c>
      <c r="W66" s="564">
        <f>IF(ISBLANK('2.) Enrollment'!N36)=TRUE,'2.) Enrollment'!M36,'2.) Enrollment'!N36)</f>
        <v>0</v>
      </c>
    </row>
    <row r="67" spans="1:23">
      <c r="A67" s="1">
        <v>16</v>
      </c>
      <c r="B67" s="438" t="str">
        <f>IF(OR('2.) Enrollment'!C37=$B$109,ISBLANK('2.) Enrollment'!C37)),"-",'2.) Enrollment'!C37)</f>
        <v>-</v>
      </c>
      <c r="C67" s="198">
        <f>IF(ISNA(MATCH(School,$M$15:$M$27,0)),1,0)*IFERROR(VLOOKUP($B67,'Funding by District'!$D$6:$F$683,3,FALSE),0)</f>
        <v>0</v>
      </c>
      <c r="D67"/>
      <c r="E67">
        <f t="shared" si="2"/>
        <v>0</v>
      </c>
      <c r="F67" s="283">
        <f>$C67*'2.) Enrollment'!G37*'4.) Yearly Budget'!$J$17</f>
        <v>0</v>
      </c>
      <c r="G67" s="283">
        <f>$C67*'2.) Enrollment'!I37*'4.) Yearly Budget'!$M$17</f>
        <v>0</v>
      </c>
      <c r="H67" s="283">
        <f>$C67*'2.) Enrollment'!K37*'4.) Yearly Budget'!$P$17</f>
        <v>0</v>
      </c>
      <c r="I67" s="283">
        <f>$C67*'2.) Enrollment'!M37*'4.) Yearly Budget'!$S$17</f>
        <v>0</v>
      </c>
      <c r="J67" s="756">
        <f t="shared" si="3"/>
        <v>0</v>
      </c>
      <c r="K67" s="760"/>
      <c r="L67" s="758">
        <f>$C67*'2.) Enrollment'!H37*'4.) Yearly Budget'!$K$17</f>
        <v>0</v>
      </c>
      <c r="M67" s="758">
        <f>$C67*'2.) Enrollment'!J37*'4.) Yearly Budget'!$N$17</f>
        <v>0</v>
      </c>
      <c r="N67" s="758">
        <f>$C67*'2.) Enrollment'!L37*'4.) Yearly Budget'!$Q$17</f>
        <v>0</v>
      </c>
      <c r="O67" s="758">
        <f>$C67*'2.) Enrollment'!N37*'4.) Yearly Budget'!$T$17</f>
        <v>0</v>
      </c>
      <c r="P67" s="759">
        <f t="shared" si="4"/>
        <v>0</v>
      </c>
      <c r="Q67"/>
      <c r="R67">
        <f t="shared" si="5"/>
        <v>0</v>
      </c>
      <c r="T67">
        <f>IF(ISBLANK('2.) Enrollment'!H37)=TRUE,'2.) Enrollment'!G37,'2.) Enrollment'!H37)</f>
        <v>0</v>
      </c>
      <c r="U67">
        <f>IF(ISBLANK('2.) Enrollment'!J37)=TRUE,'2.) Enrollment'!I37,'2.) Enrollment'!J37)</f>
        <v>0</v>
      </c>
      <c r="V67">
        <f>IF(ISBLANK('2.) Enrollment'!L37)=TRUE,'2.) Enrollment'!K37,'2.) Enrollment'!L37)</f>
        <v>0</v>
      </c>
      <c r="W67">
        <f>IF(ISBLANK('2.) Enrollment'!N37)=TRUE,'2.) Enrollment'!M37,'2.) Enrollment'!N37)</f>
        <v>0</v>
      </c>
    </row>
    <row r="68" spans="1:23">
      <c r="A68" s="1">
        <v>17</v>
      </c>
      <c r="B68" s="434" t="str">
        <f>IF(OR('2.) Enrollment'!C38=$B$109,ISBLANK('2.) Enrollment'!C38)),"-",'2.) Enrollment'!C38)</f>
        <v>-</v>
      </c>
      <c r="C68" s="198">
        <f>IF(ISNA(MATCH(School,$M$15:$M$27,0)),1,0)*IFERROR(VLOOKUP($B68,'Funding by District'!$D$6:$F$683,3,FALSE),0)</f>
        <v>0</v>
      </c>
      <c r="D68"/>
      <c r="E68">
        <f t="shared" si="2"/>
        <v>0</v>
      </c>
      <c r="F68" s="283">
        <f>$C68*'2.) Enrollment'!G38*'4.) Yearly Budget'!$J$17</f>
        <v>0</v>
      </c>
      <c r="G68" s="283">
        <f>$C68*'2.) Enrollment'!I38*'4.) Yearly Budget'!$M$17</f>
        <v>0</v>
      </c>
      <c r="H68" s="283">
        <f>$C68*'2.) Enrollment'!K38*'4.) Yearly Budget'!$P$17</f>
        <v>0</v>
      </c>
      <c r="I68" s="283">
        <f>$C68*'2.) Enrollment'!M38*'4.) Yearly Budget'!$S$17</f>
        <v>0</v>
      </c>
      <c r="J68" s="756">
        <f t="shared" si="3"/>
        <v>0</v>
      </c>
      <c r="K68"/>
      <c r="L68" s="283">
        <f>$C68*'2.) Enrollment'!H38*'4.) Yearly Budget'!$K$17</f>
        <v>0</v>
      </c>
      <c r="M68" s="283">
        <f>$C68*'2.) Enrollment'!J38*'4.) Yearly Budget'!$N$17</f>
        <v>0</v>
      </c>
      <c r="N68" s="283">
        <f>$C68*'2.) Enrollment'!L38*'4.) Yearly Budget'!$Q$17</f>
        <v>0</v>
      </c>
      <c r="O68" s="283">
        <f>$C68*'2.) Enrollment'!N38*'4.) Yearly Budget'!$T$17</f>
        <v>0</v>
      </c>
      <c r="P68" s="756">
        <f t="shared" si="4"/>
        <v>0</v>
      </c>
      <c r="Q68"/>
      <c r="R68">
        <f t="shared" si="5"/>
        <v>0</v>
      </c>
      <c r="T68">
        <f>IF(ISBLANK('2.) Enrollment'!H38)=TRUE,'2.) Enrollment'!G38,'2.) Enrollment'!H38)</f>
        <v>0</v>
      </c>
      <c r="U68">
        <f>IF(ISBLANK('2.) Enrollment'!J38)=TRUE,'2.) Enrollment'!I38,'2.) Enrollment'!J38)</f>
        <v>0</v>
      </c>
      <c r="V68">
        <f>IF(ISBLANK('2.) Enrollment'!L38)=TRUE,'2.) Enrollment'!K38,'2.) Enrollment'!L38)</f>
        <v>0</v>
      </c>
      <c r="W68">
        <f>IF(ISBLANK('2.) Enrollment'!N38)=TRUE,'2.) Enrollment'!M38,'2.) Enrollment'!N38)</f>
        <v>0</v>
      </c>
    </row>
    <row r="69" spans="1:23">
      <c r="A69" s="1">
        <v>18</v>
      </c>
      <c r="B69" s="434" t="str">
        <f>IF(OR('2.) Enrollment'!C39=$B$109,ISBLANK('2.) Enrollment'!C39)),"-",'2.) Enrollment'!C39)</f>
        <v>-</v>
      </c>
      <c r="C69" s="198">
        <f>IF(ISNA(MATCH(School,$M$15:$M$27,0)),1,0)*IFERROR(VLOOKUP($B69,'Funding by District'!$D$6:$F$683,3,FALSE),0)</f>
        <v>0</v>
      </c>
      <c r="D69"/>
      <c r="E69">
        <f t="shared" si="2"/>
        <v>0</v>
      </c>
      <c r="F69" s="283">
        <f>$C69*'2.) Enrollment'!G39*'4.) Yearly Budget'!$J$17</f>
        <v>0</v>
      </c>
      <c r="G69" s="283">
        <f>$C69*'2.) Enrollment'!I39*'4.) Yearly Budget'!$M$17</f>
        <v>0</v>
      </c>
      <c r="H69" s="283">
        <f>$C69*'2.) Enrollment'!K39*'4.) Yearly Budget'!$P$17</f>
        <v>0</v>
      </c>
      <c r="I69" s="283">
        <f>$C69*'2.) Enrollment'!M39*'4.) Yearly Budget'!$S$17</f>
        <v>0</v>
      </c>
      <c r="J69" s="756">
        <f t="shared" si="3"/>
        <v>0</v>
      </c>
      <c r="K69"/>
      <c r="L69" s="283">
        <f>$C69*'2.) Enrollment'!H39*'4.) Yearly Budget'!$K$17</f>
        <v>0</v>
      </c>
      <c r="M69" s="283">
        <f>$C69*'2.) Enrollment'!J39*'4.) Yearly Budget'!$N$17</f>
        <v>0</v>
      </c>
      <c r="N69" s="283">
        <f>$C69*'2.) Enrollment'!L39*'4.) Yearly Budget'!$Q$17</f>
        <v>0</v>
      </c>
      <c r="O69" s="283">
        <f>$C69*'2.) Enrollment'!N39*'4.) Yearly Budget'!$T$17</f>
        <v>0</v>
      </c>
      <c r="P69" s="756">
        <f t="shared" si="4"/>
        <v>0</v>
      </c>
      <c r="Q69"/>
      <c r="R69">
        <f t="shared" si="5"/>
        <v>0</v>
      </c>
      <c r="T69">
        <f>IF(ISBLANK('2.) Enrollment'!H39)=TRUE,'2.) Enrollment'!G39,'2.) Enrollment'!H39)</f>
        <v>0</v>
      </c>
      <c r="U69">
        <f>IF(ISBLANK('2.) Enrollment'!J39)=TRUE,'2.) Enrollment'!I39,'2.) Enrollment'!J39)</f>
        <v>0</v>
      </c>
      <c r="V69">
        <f>IF(ISBLANK('2.) Enrollment'!L39)=TRUE,'2.) Enrollment'!K39,'2.) Enrollment'!L39)</f>
        <v>0</v>
      </c>
      <c r="W69">
        <f>IF(ISBLANK('2.) Enrollment'!N39)=TRUE,'2.) Enrollment'!M39,'2.) Enrollment'!N39)</f>
        <v>0</v>
      </c>
    </row>
    <row r="70" spans="1:23">
      <c r="A70" s="1">
        <v>19</v>
      </c>
      <c r="B70" s="434" t="str">
        <f>IF(OR('2.) Enrollment'!C40=$B$109,ISBLANK('2.) Enrollment'!C40)),"-",'2.) Enrollment'!C40)</f>
        <v>-</v>
      </c>
      <c r="C70" s="198">
        <f>IF(ISNA(MATCH(School,$M$15:$M$27,0)),1,0)*IFERROR(VLOOKUP($B70,'Funding by District'!$D$6:$F$683,3,FALSE),0)</f>
        <v>0</v>
      </c>
      <c r="D70"/>
      <c r="E70">
        <f t="shared" si="2"/>
        <v>0</v>
      </c>
      <c r="F70" s="283">
        <f>$C70*'2.) Enrollment'!G40*'4.) Yearly Budget'!$J$17</f>
        <v>0</v>
      </c>
      <c r="G70" s="283">
        <f>$C70*'2.) Enrollment'!I40*'4.) Yearly Budget'!$M$17</f>
        <v>0</v>
      </c>
      <c r="H70" s="283">
        <f>$C70*'2.) Enrollment'!K40*'4.) Yearly Budget'!$P$17</f>
        <v>0</v>
      </c>
      <c r="I70" s="283">
        <f>$C70*'2.) Enrollment'!M40*'4.) Yearly Budget'!$S$17</f>
        <v>0</v>
      </c>
      <c r="J70" s="756">
        <f t="shared" si="3"/>
        <v>0</v>
      </c>
      <c r="K70"/>
      <c r="L70" s="283">
        <f>$C70*'2.) Enrollment'!H40*'4.) Yearly Budget'!$K$17</f>
        <v>0</v>
      </c>
      <c r="M70" s="283">
        <f>$C70*'2.) Enrollment'!J40*'4.) Yearly Budget'!$N$17</f>
        <v>0</v>
      </c>
      <c r="N70" s="283">
        <f>$C70*'2.) Enrollment'!L40*'4.) Yearly Budget'!$Q$17</f>
        <v>0</v>
      </c>
      <c r="O70" s="283">
        <f>$C70*'2.) Enrollment'!N40*'4.) Yearly Budget'!$T$17</f>
        <v>0</v>
      </c>
      <c r="P70" s="756">
        <f t="shared" si="4"/>
        <v>0</v>
      </c>
      <c r="Q70"/>
      <c r="R70">
        <f t="shared" si="5"/>
        <v>0</v>
      </c>
      <c r="T70">
        <f>IF(ISBLANK('2.) Enrollment'!H40)=TRUE,'2.) Enrollment'!G40,'2.) Enrollment'!H40)</f>
        <v>0</v>
      </c>
      <c r="U70">
        <f>IF(ISBLANK('2.) Enrollment'!J40)=TRUE,'2.) Enrollment'!I40,'2.) Enrollment'!J40)</f>
        <v>0</v>
      </c>
      <c r="V70">
        <f>IF(ISBLANK('2.) Enrollment'!L40)=TRUE,'2.) Enrollment'!K40,'2.) Enrollment'!L40)</f>
        <v>0</v>
      </c>
      <c r="W70">
        <f>IF(ISBLANK('2.) Enrollment'!N40)=TRUE,'2.) Enrollment'!M40,'2.) Enrollment'!N40)</f>
        <v>0</v>
      </c>
    </row>
    <row r="71" spans="1:23">
      <c r="A71" s="1">
        <v>20</v>
      </c>
      <c r="B71" s="434" t="str">
        <f>IF(OR('2.) Enrollment'!C41=$B$109,ISBLANK('2.) Enrollment'!C41)),"-",'2.) Enrollment'!C41)</f>
        <v>-</v>
      </c>
      <c r="C71" s="198">
        <f>IF(ISNA(MATCH(School,$M$15:$M$27,0)),1,0)*IFERROR(VLOOKUP($B71,'Funding by District'!$D$6:$F$683,3,FALSE),0)</f>
        <v>0</v>
      </c>
      <c r="D71"/>
      <c r="E71">
        <f t="shared" si="2"/>
        <v>0</v>
      </c>
      <c r="F71" s="283">
        <f>$C71*'2.) Enrollment'!G41*'4.) Yearly Budget'!$J$17</f>
        <v>0</v>
      </c>
      <c r="G71" s="283">
        <f>$C71*'2.) Enrollment'!I41*'4.) Yearly Budget'!$M$17</f>
        <v>0</v>
      </c>
      <c r="H71" s="283">
        <f>$C71*'2.) Enrollment'!K41*'4.) Yearly Budget'!$P$17</f>
        <v>0</v>
      </c>
      <c r="I71" s="283">
        <f>$C71*'2.) Enrollment'!M41*'4.) Yearly Budget'!$S$17</f>
        <v>0</v>
      </c>
      <c r="J71" s="756">
        <f t="shared" si="3"/>
        <v>0</v>
      </c>
      <c r="K71"/>
      <c r="L71" s="283">
        <f>$C71*'2.) Enrollment'!H41*'4.) Yearly Budget'!$K$17</f>
        <v>0</v>
      </c>
      <c r="M71" s="283">
        <f>$C71*'2.) Enrollment'!J41*'4.) Yearly Budget'!$N$17</f>
        <v>0</v>
      </c>
      <c r="N71" s="283">
        <f>$C71*'2.) Enrollment'!L41*'4.) Yearly Budget'!$Q$17</f>
        <v>0</v>
      </c>
      <c r="O71" s="283">
        <f>$C71*'2.) Enrollment'!N41*'4.) Yearly Budget'!$T$17</f>
        <v>0</v>
      </c>
      <c r="P71" s="756">
        <f t="shared" si="4"/>
        <v>0</v>
      </c>
      <c r="Q71"/>
      <c r="R71">
        <f t="shared" si="5"/>
        <v>0</v>
      </c>
      <c r="T71">
        <f>IF(ISBLANK('2.) Enrollment'!H41)=TRUE,'2.) Enrollment'!G41,'2.) Enrollment'!H41)</f>
        <v>0</v>
      </c>
      <c r="U71">
        <f>IF(ISBLANK('2.) Enrollment'!J41)=TRUE,'2.) Enrollment'!I41,'2.) Enrollment'!J41)</f>
        <v>0</v>
      </c>
      <c r="V71">
        <f>IF(ISBLANK('2.) Enrollment'!L41)=TRUE,'2.) Enrollment'!K41,'2.) Enrollment'!L41)</f>
        <v>0</v>
      </c>
      <c r="W71">
        <f>IF(ISBLANK('2.) Enrollment'!N41)=TRUE,'2.) Enrollment'!M41,'2.) Enrollment'!N41)</f>
        <v>0</v>
      </c>
    </row>
    <row r="72" spans="1:23">
      <c r="A72" s="1">
        <v>21</v>
      </c>
      <c r="B72" s="434" t="str">
        <f>IF(OR('2.) Enrollment'!C42=$B$109,ISBLANK('2.) Enrollment'!C42)),"-",'2.) Enrollment'!C42)</f>
        <v>-</v>
      </c>
      <c r="C72" s="198">
        <f>IF(ISNA(MATCH(School,$M$15:$M$27,0)),1,0)*IFERROR(VLOOKUP($B72,'Funding by District'!$D$6:$F$683,3,FALSE),0)</f>
        <v>0</v>
      </c>
      <c r="D72"/>
      <c r="E72">
        <f t="shared" si="2"/>
        <v>0</v>
      </c>
      <c r="F72" s="283">
        <f>$C72*'2.) Enrollment'!G42*'4.) Yearly Budget'!$J$17</f>
        <v>0</v>
      </c>
      <c r="G72" s="283">
        <f>$C72*'2.) Enrollment'!I42*'4.) Yearly Budget'!$M$17</f>
        <v>0</v>
      </c>
      <c r="H72" s="283">
        <f>$C72*'2.) Enrollment'!K42*'4.) Yearly Budget'!$P$17</f>
        <v>0</v>
      </c>
      <c r="I72" s="283">
        <f>$C72*'2.) Enrollment'!M42*'4.) Yearly Budget'!$S$17</f>
        <v>0</v>
      </c>
      <c r="J72" s="756">
        <f t="shared" si="3"/>
        <v>0</v>
      </c>
      <c r="K72"/>
      <c r="L72" s="283">
        <f>$C72*'2.) Enrollment'!H42*'4.) Yearly Budget'!$K$17</f>
        <v>0</v>
      </c>
      <c r="M72" s="283">
        <f>$C72*'2.) Enrollment'!J42*'4.) Yearly Budget'!$N$17</f>
        <v>0</v>
      </c>
      <c r="N72" s="283">
        <f>$C72*'2.) Enrollment'!L42*'4.) Yearly Budget'!$Q$17</f>
        <v>0</v>
      </c>
      <c r="O72" s="283">
        <f>$C72*'2.) Enrollment'!N42*'4.) Yearly Budget'!$T$17</f>
        <v>0</v>
      </c>
      <c r="P72" s="756">
        <f t="shared" si="4"/>
        <v>0</v>
      </c>
      <c r="Q72"/>
      <c r="R72">
        <f t="shared" si="5"/>
        <v>0</v>
      </c>
      <c r="T72">
        <f>IF(ISBLANK('2.) Enrollment'!H42)=TRUE,'2.) Enrollment'!G42,'2.) Enrollment'!H42)</f>
        <v>0</v>
      </c>
      <c r="U72">
        <f>IF(ISBLANK('2.) Enrollment'!J42)=TRUE,'2.) Enrollment'!I42,'2.) Enrollment'!J42)</f>
        <v>0</v>
      </c>
      <c r="V72">
        <f>IF(ISBLANK('2.) Enrollment'!L42)=TRUE,'2.) Enrollment'!K42,'2.) Enrollment'!L42)</f>
        <v>0</v>
      </c>
      <c r="W72">
        <f>IF(ISBLANK('2.) Enrollment'!N42)=TRUE,'2.) Enrollment'!M42,'2.) Enrollment'!N42)</f>
        <v>0</v>
      </c>
    </row>
    <row r="73" spans="1:23">
      <c r="A73" s="1">
        <v>22</v>
      </c>
      <c r="B73" s="434" t="str">
        <f>IF(OR('2.) Enrollment'!C43=$B$109,ISBLANK('2.) Enrollment'!C43)),"-",'2.) Enrollment'!C43)</f>
        <v>-</v>
      </c>
      <c r="C73" s="198">
        <f>IF(ISNA(MATCH(School,$M$15:$M$27,0)),1,0)*IFERROR(VLOOKUP($B73,'Funding by District'!$D$6:$F$683,3,FALSE),0)</f>
        <v>0</v>
      </c>
      <c r="D73"/>
      <c r="E73">
        <f t="shared" si="2"/>
        <v>0</v>
      </c>
      <c r="F73" s="283">
        <f>$C73*'2.) Enrollment'!G43*'4.) Yearly Budget'!$J$17</f>
        <v>0</v>
      </c>
      <c r="G73" s="283">
        <f>$C73*'2.) Enrollment'!I43*'4.) Yearly Budget'!$M$17</f>
        <v>0</v>
      </c>
      <c r="H73" s="283">
        <f>$C73*'2.) Enrollment'!K43*'4.) Yearly Budget'!$P$17</f>
        <v>0</v>
      </c>
      <c r="I73" s="283">
        <f>$C73*'2.) Enrollment'!M43*'4.) Yearly Budget'!$S$17</f>
        <v>0</v>
      </c>
      <c r="J73" s="756">
        <f t="shared" si="3"/>
        <v>0</v>
      </c>
      <c r="K73"/>
      <c r="L73" s="283">
        <f>$C73*'2.) Enrollment'!H43*'4.) Yearly Budget'!$K$17</f>
        <v>0</v>
      </c>
      <c r="M73" s="283">
        <f>$C73*'2.) Enrollment'!J43*'4.) Yearly Budget'!$N$17</f>
        <v>0</v>
      </c>
      <c r="N73" s="283">
        <f>$C73*'2.) Enrollment'!L43*'4.) Yearly Budget'!$Q$17</f>
        <v>0</v>
      </c>
      <c r="O73" s="283">
        <f>$C73*'2.) Enrollment'!N43*'4.) Yearly Budget'!$T$17</f>
        <v>0</v>
      </c>
      <c r="P73" s="756">
        <f t="shared" si="4"/>
        <v>0</v>
      </c>
      <c r="Q73"/>
      <c r="R73">
        <f t="shared" si="5"/>
        <v>0</v>
      </c>
      <c r="T73">
        <f>IF(ISBLANK('2.) Enrollment'!H43)=TRUE,'2.) Enrollment'!G43,'2.) Enrollment'!H43)</f>
        <v>0</v>
      </c>
      <c r="U73">
        <f>IF(ISBLANK('2.) Enrollment'!J43)=TRUE,'2.) Enrollment'!I43,'2.) Enrollment'!J43)</f>
        <v>0</v>
      </c>
      <c r="V73">
        <f>IF(ISBLANK('2.) Enrollment'!L43)=TRUE,'2.) Enrollment'!K43,'2.) Enrollment'!L43)</f>
        <v>0</v>
      </c>
      <c r="W73">
        <f>IF(ISBLANK('2.) Enrollment'!N43)=TRUE,'2.) Enrollment'!M43,'2.) Enrollment'!N43)</f>
        <v>0</v>
      </c>
    </row>
    <row r="74" spans="1:23">
      <c r="A74" s="1">
        <v>23</v>
      </c>
      <c r="B74" s="434" t="str">
        <f>IF(OR('2.) Enrollment'!C44=$B$109,ISBLANK('2.) Enrollment'!C44)),"-",'2.) Enrollment'!C44)</f>
        <v>-</v>
      </c>
      <c r="C74" s="198">
        <f>IF(ISNA(MATCH(School,$M$15:$M$27,0)),1,0)*IFERROR(VLOOKUP($B74,'Funding by District'!$D$6:$F$683,3,FALSE),0)</f>
        <v>0</v>
      </c>
      <c r="D74"/>
      <c r="E74">
        <f t="shared" si="2"/>
        <v>0</v>
      </c>
      <c r="F74" s="283">
        <f>$C74*'2.) Enrollment'!G44*'4.) Yearly Budget'!$J$17</f>
        <v>0</v>
      </c>
      <c r="G74" s="283">
        <f>$C74*'2.) Enrollment'!I44*'4.) Yearly Budget'!$M$17</f>
        <v>0</v>
      </c>
      <c r="H74" s="283">
        <f>$C74*'2.) Enrollment'!K44*'4.) Yearly Budget'!$P$17</f>
        <v>0</v>
      </c>
      <c r="I74" s="283">
        <f>$C74*'2.) Enrollment'!M44*'4.) Yearly Budget'!$S$17</f>
        <v>0</v>
      </c>
      <c r="J74" s="756">
        <f t="shared" si="3"/>
        <v>0</v>
      </c>
      <c r="K74"/>
      <c r="L74" s="283">
        <f>$C74*'2.) Enrollment'!H44*'4.) Yearly Budget'!$K$17</f>
        <v>0</v>
      </c>
      <c r="M74" s="283">
        <f>$C74*'2.) Enrollment'!J44*'4.) Yearly Budget'!$N$17</f>
        <v>0</v>
      </c>
      <c r="N74" s="283">
        <f>$C74*'2.) Enrollment'!L44*'4.) Yearly Budget'!$Q$17</f>
        <v>0</v>
      </c>
      <c r="O74" s="283">
        <f>$C74*'2.) Enrollment'!N44*'4.) Yearly Budget'!$T$17</f>
        <v>0</v>
      </c>
      <c r="P74" s="756">
        <f t="shared" si="4"/>
        <v>0</v>
      </c>
      <c r="Q74"/>
      <c r="R74">
        <f t="shared" si="5"/>
        <v>0</v>
      </c>
      <c r="T74">
        <f>IF(ISBLANK('2.) Enrollment'!H44)=TRUE,'2.) Enrollment'!G44,'2.) Enrollment'!H44)</f>
        <v>0</v>
      </c>
      <c r="U74">
        <f>IF(ISBLANK('2.) Enrollment'!J44)=TRUE,'2.) Enrollment'!I44,'2.) Enrollment'!J44)</f>
        <v>0</v>
      </c>
      <c r="V74">
        <f>IF(ISBLANK('2.) Enrollment'!L44)=TRUE,'2.) Enrollment'!K44,'2.) Enrollment'!L44)</f>
        <v>0</v>
      </c>
      <c r="W74">
        <f>IF(ISBLANK('2.) Enrollment'!N44)=TRUE,'2.) Enrollment'!M44,'2.) Enrollment'!N44)</f>
        <v>0</v>
      </c>
    </row>
    <row r="75" spans="1:23">
      <c r="A75" s="1">
        <v>24</v>
      </c>
      <c r="B75" s="434" t="str">
        <f>IF(OR('2.) Enrollment'!C45=$B$109,ISBLANK('2.) Enrollment'!C45)),"-",'2.) Enrollment'!C45)</f>
        <v>-</v>
      </c>
      <c r="C75" s="198">
        <f>IF(ISNA(MATCH(School,$M$15:$M$27,0)),1,0)*IFERROR(VLOOKUP($B75,'Funding by District'!$D$6:$F$683,3,FALSE),0)</f>
        <v>0</v>
      </c>
      <c r="D75"/>
      <c r="E75">
        <f t="shared" si="2"/>
        <v>0</v>
      </c>
      <c r="F75" s="283">
        <f>$C75*'2.) Enrollment'!G45*'4.) Yearly Budget'!$J$17</f>
        <v>0</v>
      </c>
      <c r="G75" s="283">
        <f>$C75*'2.) Enrollment'!I45*'4.) Yearly Budget'!$M$17</f>
        <v>0</v>
      </c>
      <c r="H75" s="283">
        <f>$C75*'2.) Enrollment'!K45*'4.) Yearly Budget'!$P$17</f>
        <v>0</v>
      </c>
      <c r="I75" s="283">
        <f>$C75*'2.) Enrollment'!M45*'4.) Yearly Budget'!$S$17</f>
        <v>0</v>
      </c>
      <c r="J75" s="756">
        <f t="shared" si="3"/>
        <v>0</v>
      </c>
      <c r="K75"/>
      <c r="L75" s="283">
        <f>$C75*'2.) Enrollment'!H45*'4.) Yearly Budget'!$K$17</f>
        <v>0</v>
      </c>
      <c r="M75" s="283">
        <f>$C75*'2.) Enrollment'!J45*'4.) Yearly Budget'!$N$17</f>
        <v>0</v>
      </c>
      <c r="N75" s="283">
        <f>$C75*'2.) Enrollment'!L45*'4.) Yearly Budget'!$Q$17</f>
        <v>0</v>
      </c>
      <c r="O75" s="283">
        <f>$C75*'2.) Enrollment'!N45*'4.) Yearly Budget'!$T$17</f>
        <v>0</v>
      </c>
      <c r="P75" s="756">
        <f t="shared" si="4"/>
        <v>0</v>
      </c>
      <c r="Q75"/>
      <c r="R75">
        <f t="shared" si="5"/>
        <v>0</v>
      </c>
      <c r="T75">
        <f>IF(ISBLANK('2.) Enrollment'!H45)=TRUE,'2.) Enrollment'!G45,'2.) Enrollment'!H45)</f>
        <v>0</v>
      </c>
      <c r="U75">
        <f>IF(ISBLANK('2.) Enrollment'!J45)=TRUE,'2.) Enrollment'!I45,'2.) Enrollment'!J45)</f>
        <v>0</v>
      </c>
      <c r="V75">
        <f>IF(ISBLANK('2.) Enrollment'!L45)=TRUE,'2.) Enrollment'!K45,'2.) Enrollment'!L45)</f>
        <v>0</v>
      </c>
      <c r="W75">
        <f>IF(ISBLANK('2.) Enrollment'!N45)=TRUE,'2.) Enrollment'!M45,'2.) Enrollment'!N45)</f>
        <v>0</v>
      </c>
    </row>
    <row r="76" spans="1:23">
      <c r="A76" s="1">
        <v>25</v>
      </c>
      <c r="B76" s="434" t="str">
        <f>IF(OR('2.) Enrollment'!C46=$B$109,ISBLANK('2.) Enrollment'!C46)),"-",'2.) Enrollment'!C46)</f>
        <v>-</v>
      </c>
      <c r="C76" s="198">
        <f>IF(ISNA(MATCH(School,$M$15:$M$27,0)),1,0)*IFERROR(VLOOKUP($B76,'Funding by District'!$D$6:$F$683,3,FALSE),0)</f>
        <v>0</v>
      </c>
      <c r="D76"/>
      <c r="E76">
        <f t="shared" si="2"/>
        <v>0</v>
      </c>
      <c r="F76" s="283">
        <f>$C76*'2.) Enrollment'!G46*'4.) Yearly Budget'!$J$17</f>
        <v>0</v>
      </c>
      <c r="G76" s="283">
        <f>$C76*'2.) Enrollment'!I46*'4.) Yearly Budget'!$M$17</f>
        <v>0</v>
      </c>
      <c r="H76" s="283">
        <f>$C76*'2.) Enrollment'!K46*'4.) Yearly Budget'!$P$17</f>
        <v>0</v>
      </c>
      <c r="I76" s="283">
        <f>$C76*'2.) Enrollment'!M46*'4.) Yearly Budget'!$S$17</f>
        <v>0</v>
      </c>
      <c r="J76" s="756">
        <f t="shared" si="3"/>
        <v>0</v>
      </c>
      <c r="K76"/>
      <c r="L76" s="283">
        <f>$C76*'2.) Enrollment'!H46*'4.) Yearly Budget'!$K$17</f>
        <v>0</v>
      </c>
      <c r="M76" s="283">
        <f>$C76*'2.) Enrollment'!J46*'4.) Yearly Budget'!$N$17</f>
        <v>0</v>
      </c>
      <c r="N76" s="283">
        <f>$C76*'2.) Enrollment'!L46*'4.) Yearly Budget'!$Q$17</f>
        <v>0</v>
      </c>
      <c r="O76" s="283">
        <f>$C76*'2.) Enrollment'!N46*'4.) Yearly Budget'!$T$17</f>
        <v>0</v>
      </c>
      <c r="P76" s="756">
        <f t="shared" si="4"/>
        <v>0</v>
      </c>
      <c r="Q76"/>
      <c r="R76">
        <f t="shared" si="5"/>
        <v>0</v>
      </c>
      <c r="T76">
        <f>IF(ISBLANK('2.) Enrollment'!H46)=TRUE,'2.) Enrollment'!G46,'2.) Enrollment'!H46)</f>
        <v>0</v>
      </c>
      <c r="U76">
        <f>IF(ISBLANK('2.) Enrollment'!J46)=TRUE,'2.) Enrollment'!I46,'2.) Enrollment'!J46)</f>
        <v>0</v>
      </c>
      <c r="V76">
        <f>IF(ISBLANK('2.) Enrollment'!L46)=TRUE,'2.) Enrollment'!K46,'2.) Enrollment'!L46)</f>
        <v>0</v>
      </c>
      <c r="W76">
        <f>IF(ISBLANK('2.) Enrollment'!N46)=TRUE,'2.) Enrollment'!M46,'2.) Enrollment'!N46)</f>
        <v>0</v>
      </c>
    </row>
    <row r="77" spans="1:23">
      <c r="A77" s="1">
        <v>26</v>
      </c>
      <c r="B77" s="434" t="str">
        <f>IF(OR('2.) Enrollment'!C47=$B$109,ISBLANK('2.) Enrollment'!C47)),"-",'2.) Enrollment'!C47)</f>
        <v>-</v>
      </c>
      <c r="C77" s="198">
        <f>IF(ISNA(MATCH(School,$M$15:$M$27,0)),1,0)*IFERROR(VLOOKUP($B77,'Funding by District'!$D$6:$F$683,3,FALSE),0)</f>
        <v>0</v>
      </c>
      <c r="D77"/>
      <c r="E77">
        <f t="shared" si="2"/>
        <v>0</v>
      </c>
      <c r="F77" s="283">
        <f>$C77*'2.) Enrollment'!G47*'4.) Yearly Budget'!$J$17</f>
        <v>0</v>
      </c>
      <c r="G77" s="283">
        <f>$C77*'2.) Enrollment'!I47*'4.) Yearly Budget'!$M$17</f>
        <v>0</v>
      </c>
      <c r="H77" s="283">
        <f>$C77*'2.) Enrollment'!K47*'4.) Yearly Budget'!$P$17</f>
        <v>0</v>
      </c>
      <c r="I77" s="283">
        <f>$C77*'2.) Enrollment'!M47*'4.) Yearly Budget'!$S$17</f>
        <v>0</v>
      </c>
      <c r="J77" s="756">
        <f t="shared" si="3"/>
        <v>0</v>
      </c>
      <c r="K77"/>
      <c r="L77" s="283">
        <f>$C77*'2.) Enrollment'!H47*'4.) Yearly Budget'!$K$17</f>
        <v>0</v>
      </c>
      <c r="M77" s="283">
        <f>$C77*'2.) Enrollment'!J47*'4.) Yearly Budget'!$N$17</f>
        <v>0</v>
      </c>
      <c r="N77" s="283">
        <f>$C77*'2.) Enrollment'!L47*'4.) Yearly Budget'!$Q$17</f>
        <v>0</v>
      </c>
      <c r="O77" s="283">
        <f>$C77*'2.) Enrollment'!N47*'4.) Yearly Budget'!$T$17</f>
        <v>0</v>
      </c>
      <c r="P77" s="756">
        <f t="shared" si="4"/>
        <v>0</v>
      </c>
      <c r="Q77"/>
      <c r="R77">
        <f t="shared" si="5"/>
        <v>0</v>
      </c>
      <c r="T77">
        <f>IF(ISBLANK('2.) Enrollment'!H47)=TRUE,'2.) Enrollment'!G47,'2.) Enrollment'!H47)</f>
        <v>0</v>
      </c>
      <c r="U77">
        <f>IF(ISBLANK('2.) Enrollment'!J47)=TRUE,'2.) Enrollment'!I47,'2.) Enrollment'!J47)</f>
        <v>0</v>
      </c>
      <c r="V77">
        <f>IF(ISBLANK('2.) Enrollment'!L47)=TRUE,'2.) Enrollment'!K47,'2.) Enrollment'!L47)</f>
        <v>0</v>
      </c>
      <c r="W77">
        <f>IF(ISBLANK('2.) Enrollment'!N47)=TRUE,'2.) Enrollment'!M47,'2.) Enrollment'!N47)</f>
        <v>0</v>
      </c>
    </row>
    <row r="78" spans="1:23">
      <c r="A78" s="1">
        <v>27</v>
      </c>
      <c r="B78" s="434" t="str">
        <f>IF(OR('2.) Enrollment'!C48=$B$109,ISBLANK('2.) Enrollment'!C48)),"-",'2.) Enrollment'!C48)</f>
        <v>-</v>
      </c>
      <c r="C78" s="198">
        <f>IF(ISNA(MATCH(School,$M$15:$M$27,0)),1,0)*IFERROR(VLOOKUP($B78,'Funding by District'!$D$6:$F$683,3,FALSE),0)</f>
        <v>0</v>
      </c>
      <c r="D78"/>
      <c r="E78">
        <f t="shared" si="2"/>
        <v>0</v>
      </c>
      <c r="F78" s="283">
        <f>$C78*'2.) Enrollment'!G48*'4.) Yearly Budget'!$J$17</f>
        <v>0</v>
      </c>
      <c r="G78" s="283">
        <f>$C78*'2.) Enrollment'!I48*'4.) Yearly Budget'!$M$17</f>
        <v>0</v>
      </c>
      <c r="H78" s="283">
        <f>$C78*'2.) Enrollment'!K48*'4.) Yearly Budget'!$P$17</f>
        <v>0</v>
      </c>
      <c r="I78" s="283">
        <f>$C78*'2.) Enrollment'!M48*'4.) Yearly Budget'!$S$17</f>
        <v>0</v>
      </c>
      <c r="J78" s="756">
        <f t="shared" si="3"/>
        <v>0</v>
      </c>
      <c r="K78"/>
      <c r="L78" s="283">
        <f>$C78*'2.) Enrollment'!H48*'4.) Yearly Budget'!$K$17</f>
        <v>0</v>
      </c>
      <c r="M78" s="283">
        <f>$C78*'2.) Enrollment'!J48*'4.) Yearly Budget'!$N$17</f>
        <v>0</v>
      </c>
      <c r="N78" s="283">
        <f>$C78*'2.) Enrollment'!L48*'4.) Yearly Budget'!$Q$17</f>
        <v>0</v>
      </c>
      <c r="O78" s="283">
        <f>$C78*'2.) Enrollment'!N48*'4.) Yearly Budget'!$T$17</f>
        <v>0</v>
      </c>
      <c r="P78" s="756">
        <f t="shared" si="4"/>
        <v>0</v>
      </c>
      <c r="Q78"/>
      <c r="R78">
        <f t="shared" si="5"/>
        <v>0</v>
      </c>
      <c r="T78">
        <f>IF(ISBLANK('2.) Enrollment'!H48)=TRUE,'2.) Enrollment'!G48,'2.) Enrollment'!H48)</f>
        <v>0</v>
      </c>
      <c r="U78">
        <f>IF(ISBLANK('2.) Enrollment'!J48)=TRUE,'2.) Enrollment'!I48,'2.) Enrollment'!J48)</f>
        <v>0</v>
      </c>
      <c r="V78">
        <f>IF(ISBLANK('2.) Enrollment'!L48)=TRUE,'2.) Enrollment'!K48,'2.) Enrollment'!L48)</f>
        <v>0</v>
      </c>
      <c r="W78">
        <f>IF(ISBLANK('2.) Enrollment'!N48)=TRUE,'2.) Enrollment'!M48,'2.) Enrollment'!N48)</f>
        <v>0</v>
      </c>
    </row>
    <row r="79" spans="1:23">
      <c r="A79" s="1">
        <v>28</v>
      </c>
      <c r="B79" s="434" t="str">
        <f>IF(OR('2.) Enrollment'!C49=$B$109,ISBLANK('2.) Enrollment'!C49)),"-",'2.) Enrollment'!C49)</f>
        <v>-</v>
      </c>
      <c r="C79" s="198">
        <f>IF(ISNA(MATCH(School,$M$15:$M$27,0)),1,0)*IFERROR(VLOOKUP($B79,'Funding by District'!$D$6:$F$683,3,FALSE),0)</f>
        <v>0</v>
      </c>
      <c r="D79"/>
      <c r="E79">
        <f t="shared" si="2"/>
        <v>0</v>
      </c>
      <c r="F79" s="283">
        <f>$C79*'2.) Enrollment'!G49*'4.) Yearly Budget'!$J$17</f>
        <v>0</v>
      </c>
      <c r="G79" s="283">
        <f>$C79*'2.) Enrollment'!I49*'4.) Yearly Budget'!$M$17</f>
        <v>0</v>
      </c>
      <c r="H79" s="283">
        <f>$C79*'2.) Enrollment'!K49*'4.) Yearly Budget'!$P$17</f>
        <v>0</v>
      </c>
      <c r="I79" s="283">
        <f>$C79*'2.) Enrollment'!M49*'4.) Yearly Budget'!$S$17</f>
        <v>0</v>
      </c>
      <c r="J79" s="756">
        <f t="shared" si="3"/>
        <v>0</v>
      </c>
      <c r="K79"/>
      <c r="L79" s="283">
        <f>$C79*'2.) Enrollment'!H49*'4.) Yearly Budget'!$K$17</f>
        <v>0</v>
      </c>
      <c r="M79" s="283">
        <f>$C79*'2.) Enrollment'!J49*'4.) Yearly Budget'!$N$17</f>
        <v>0</v>
      </c>
      <c r="N79" s="283">
        <f>$C79*'2.) Enrollment'!L49*'4.) Yearly Budget'!$Q$17</f>
        <v>0</v>
      </c>
      <c r="O79" s="283">
        <f>$C79*'2.) Enrollment'!N49*'4.) Yearly Budget'!$T$17</f>
        <v>0</v>
      </c>
      <c r="P79" s="756">
        <f t="shared" si="4"/>
        <v>0</v>
      </c>
      <c r="Q79"/>
      <c r="R79">
        <f t="shared" si="5"/>
        <v>0</v>
      </c>
      <c r="T79">
        <f>IF(ISBLANK('2.) Enrollment'!H49)=TRUE,'2.) Enrollment'!G49,'2.) Enrollment'!H49)</f>
        <v>0</v>
      </c>
      <c r="U79">
        <f>IF(ISBLANK('2.) Enrollment'!J49)=TRUE,'2.) Enrollment'!I49,'2.) Enrollment'!J49)</f>
        <v>0</v>
      </c>
      <c r="V79">
        <f>IF(ISBLANK('2.) Enrollment'!L49)=TRUE,'2.) Enrollment'!K49,'2.) Enrollment'!L49)</f>
        <v>0</v>
      </c>
      <c r="W79">
        <f>IF(ISBLANK('2.) Enrollment'!N49)=TRUE,'2.) Enrollment'!M49,'2.) Enrollment'!N49)</f>
        <v>0</v>
      </c>
    </row>
    <row r="80" spans="1:23">
      <c r="A80" s="1">
        <v>29</v>
      </c>
      <c r="B80" s="434" t="str">
        <f>IF(OR('2.) Enrollment'!C50=$B$109,ISBLANK('2.) Enrollment'!C50)),"-",'2.) Enrollment'!C50)</f>
        <v>-</v>
      </c>
      <c r="C80" s="198">
        <f>IF(ISNA(MATCH(School,$M$15:$M$27,0)),1,0)*IFERROR(VLOOKUP($B80,'Funding by District'!$D$6:$F$683,3,FALSE),0)</f>
        <v>0</v>
      </c>
      <c r="D80"/>
      <c r="E80">
        <f t="shared" si="2"/>
        <v>0</v>
      </c>
      <c r="F80" s="283">
        <f>$C80*'2.) Enrollment'!G50*'4.) Yearly Budget'!$J$17</f>
        <v>0</v>
      </c>
      <c r="G80" s="283">
        <f>$C80*'2.) Enrollment'!I50*'4.) Yearly Budget'!$M$17</f>
        <v>0</v>
      </c>
      <c r="H80" s="283">
        <f>$C80*'2.) Enrollment'!K50*'4.) Yearly Budget'!$P$17</f>
        <v>0</v>
      </c>
      <c r="I80" s="283">
        <f>$C80*'2.) Enrollment'!M50*'4.) Yearly Budget'!$S$17</f>
        <v>0</v>
      </c>
      <c r="J80" s="756">
        <f t="shared" si="3"/>
        <v>0</v>
      </c>
      <c r="K80"/>
      <c r="L80" s="283">
        <f>$C80*'2.) Enrollment'!H50*'4.) Yearly Budget'!$K$17</f>
        <v>0</v>
      </c>
      <c r="M80" s="283">
        <f>$C80*'2.) Enrollment'!J50*'4.) Yearly Budget'!$N$17</f>
        <v>0</v>
      </c>
      <c r="N80" s="283">
        <f>$C80*'2.) Enrollment'!L50*'4.) Yearly Budget'!$Q$17</f>
        <v>0</v>
      </c>
      <c r="O80" s="283">
        <f>$C80*'2.) Enrollment'!N50*'4.) Yearly Budget'!$T$17</f>
        <v>0</v>
      </c>
      <c r="P80" s="756">
        <f t="shared" si="4"/>
        <v>0</v>
      </c>
      <c r="Q80"/>
      <c r="R80">
        <f t="shared" si="5"/>
        <v>0</v>
      </c>
      <c r="T80">
        <f>IF(ISBLANK('2.) Enrollment'!H50)=TRUE,'2.) Enrollment'!G50,'2.) Enrollment'!H50)</f>
        <v>0</v>
      </c>
      <c r="U80">
        <f>IF(ISBLANK('2.) Enrollment'!J50)=TRUE,'2.) Enrollment'!I50,'2.) Enrollment'!J50)</f>
        <v>0</v>
      </c>
      <c r="V80">
        <f>IF(ISBLANK('2.) Enrollment'!L50)=TRUE,'2.) Enrollment'!K50,'2.) Enrollment'!L50)</f>
        <v>0</v>
      </c>
      <c r="W80">
        <f>IF(ISBLANK('2.) Enrollment'!N50)=TRUE,'2.) Enrollment'!M50,'2.) Enrollment'!N50)</f>
        <v>0</v>
      </c>
    </row>
    <row r="81" spans="1:23">
      <c r="A81" s="1">
        <v>30</v>
      </c>
      <c r="B81" s="434" t="str">
        <f>IF(OR('2.) Enrollment'!C51=$B$109,ISBLANK('2.) Enrollment'!C51)),"-",'2.) Enrollment'!C51)</f>
        <v>-</v>
      </c>
      <c r="C81" s="198">
        <f>IF(ISNA(MATCH(School,$M$15:$M$27,0)),1,0)*IFERROR(VLOOKUP($B81,'Funding by District'!$D$6:$F$683,3,FALSE),0)</f>
        <v>0</v>
      </c>
      <c r="D81"/>
      <c r="E81">
        <f t="shared" si="2"/>
        <v>0</v>
      </c>
      <c r="F81" s="283">
        <f>$C81*'2.) Enrollment'!G51*'4.) Yearly Budget'!$J$17</f>
        <v>0</v>
      </c>
      <c r="G81" s="283">
        <f>$C81*'2.) Enrollment'!I51*'4.) Yearly Budget'!$M$17</f>
        <v>0</v>
      </c>
      <c r="H81" s="283">
        <f>$C81*'2.) Enrollment'!K51*'4.) Yearly Budget'!$P$17</f>
        <v>0</v>
      </c>
      <c r="I81" s="283">
        <f>$C81*'2.) Enrollment'!M51*'4.) Yearly Budget'!$S$17</f>
        <v>0</v>
      </c>
      <c r="J81" s="756">
        <f t="shared" si="3"/>
        <v>0</v>
      </c>
      <c r="K81"/>
      <c r="L81" s="283">
        <f>$C81*'2.) Enrollment'!H51*'4.) Yearly Budget'!$K$17</f>
        <v>0</v>
      </c>
      <c r="M81" s="283">
        <f>$C81*'2.) Enrollment'!J51*'4.) Yearly Budget'!$N$17</f>
        <v>0</v>
      </c>
      <c r="N81" s="283">
        <f>$C81*'2.) Enrollment'!L51*'4.) Yearly Budget'!$Q$17</f>
        <v>0</v>
      </c>
      <c r="O81" s="283">
        <f>$C81*'2.) Enrollment'!N51*'4.) Yearly Budget'!$T$17</f>
        <v>0</v>
      </c>
      <c r="P81" s="756">
        <f t="shared" si="4"/>
        <v>0</v>
      </c>
      <c r="Q81"/>
      <c r="R81">
        <f t="shared" si="5"/>
        <v>0</v>
      </c>
      <c r="T81">
        <f>IF(ISBLANK('2.) Enrollment'!H51)=TRUE,'2.) Enrollment'!G51,'2.) Enrollment'!H51)</f>
        <v>0</v>
      </c>
      <c r="U81">
        <f>IF(ISBLANK('2.) Enrollment'!J51)=TRUE,'2.) Enrollment'!I51,'2.) Enrollment'!J51)</f>
        <v>0</v>
      </c>
      <c r="V81">
        <f>IF(ISBLANK('2.) Enrollment'!L51)=TRUE,'2.) Enrollment'!K51,'2.) Enrollment'!L51)</f>
        <v>0</v>
      </c>
      <c r="W81">
        <f>IF(ISBLANK('2.) Enrollment'!N51)=TRUE,'2.) Enrollment'!M51,'2.) Enrollment'!N51)</f>
        <v>0</v>
      </c>
    </row>
    <row r="82" spans="1:23">
      <c r="A82" s="1">
        <v>31</v>
      </c>
      <c r="B82" s="434" t="str">
        <f>IF(OR('2.) Enrollment'!C52=$B$109,ISBLANK('2.) Enrollment'!C52)),"-",'2.) Enrollment'!C52)</f>
        <v>-</v>
      </c>
      <c r="C82" s="198">
        <f>IF(ISNA(MATCH(School,$M$15:$M$27,0)),1,0)*IFERROR(VLOOKUP($B82,'Funding by District'!$D$6:$F$683,3,FALSE),0)</f>
        <v>0</v>
      </c>
      <c r="D82"/>
      <c r="E82">
        <f t="shared" si="2"/>
        <v>0</v>
      </c>
      <c r="F82" s="283">
        <f>$C82*'2.) Enrollment'!G52*'4.) Yearly Budget'!$J$17</f>
        <v>0</v>
      </c>
      <c r="G82" s="283">
        <f>$C82*'2.) Enrollment'!I52*'4.) Yearly Budget'!$M$17</f>
        <v>0</v>
      </c>
      <c r="H82" s="283">
        <f>$C82*'2.) Enrollment'!K52*'4.) Yearly Budget'!$P$17</f>
        <v>0</v>
      </c>
      <c r="I82" s="283">
        <f>$C82*'2.) Enrollment'!M52*'4.) Yearly Budget'!$S$17</f>
        <v>0</v>
      </c>
      <c r="J82" s="756">
        <f t="shared" si="3"/>
        <v>0</v>
      </c>
      <c r="K82"/>
      <c r="L82" s="283">
        <f>$C82*'2.) Enrollment'!H52*'4.) Yearly Budget'!$K$17</f>
        <v>0</v>
      </c>
      <c r="M82" s="283">
        <f>$C82*'2.) Enrollment'!J52*'4.) Yearly Budget'!$N$17</f>
        <v>0</v>
      </c>
      <c r="N82" s="283">
        <f>$C82*'2.) Enrollment'!L52*'4.) Yearly Budget'!$Q$17</f>
        <v>0</v>
      </c>
      <c r="O82" s="283">
        <f>$C82*'2.) Enrollment'!N52*'4.) Yearly Budget'!$T$17</f>
        <v>0</v>
      </c>
      <c r="P82" s="756">
        <f t="shared" si="4"/>
        <v>0</v>
      </c>
      <c r="Q82"/>
      <c r="R82">
        <f t="shared" si="5"/>
        <v>0</v>
      </c>
      <c r="T82">
        <f>IF(ISBLANK('2.) Enrollment'!H52)=TRUE,'2.) Enrollment'!G52,'2.) Enrollment'!H52)</f>
        <v>0</v>
      </c>
      <c r="U82">
        <f>IF(ISBLANK('2.) Enrollment'!J52)=TRUE,'2.) Enrollment'!I52,'2.) Enrollment'!J52)</f>
        <v>0</v>
      </c>
      <c r="V82">
        <f>IF(ISBLANK('2.) Enrollment'!L52)=TRUE,'2.) Enrollment'!K52,'2.) Enrollment'!L52)</f>
        <v>0</v>
      </c>
      <c r="W82">
        <f>IF(ISBLANK('2.) Enrollment'!N52)=TRUE,'2.) Enrollment'!M52,'2.) Enrollment'!N52)</f>
        <v>0</v>
      </c>
    </row>
    <row r="83" spans="1:23">
      <c r="A83" s="1">
        <v>32</v>
      </c>
      <c r="B83" s="434" t="str">
        <f>IF(OR('2.) Enrollment'!C53=$B$109,ISBLANK('2.) Enrollment'!C53)),"-",'2.) Enrollment'!C53)</f>
        <v>-</v>
      </c>
      <c r="C83" s="198">
        <f>IF(ISNA(MATCH(School,$M$15:$M$27,0)),1,0)*IFERROR(VLOOKUP($B83,'Funding by District'!$D$6:$F$683,3,FALSE),0)</f>
        <v>0</v>
      </c>
      <c r="D83"/>
      <c r="E83">
        <f t="shared" si="2"/>
        <v>0</v>
      </c>
      <c r="F83" s="283">
        <f>$C83*'2.) Enrollment'!G53*'4.) Yearly Budget'!$J$17</f>
        <v>0</v>
      </c>
      <c r="G83" s="283">
        <f>$C83*'2.) Enrollment'!I53*'4.) Yearly Budget'!$M$17</f>
        <v>0</v>
      </c>
      <c r="H83" s="283">
        <f>$C83*'2.) Enrollment'!K53*'4.) Yearly Budget'!$P$17</f>
        <v>0</v>
      </c>
      <c r="I83" s="283">
        <f>$C83*'2.) Enrollment'!M53*'4.) Yearly Budget'!$S$17</f>
        <v>0</v>
      </c>
      <c r="J83" s="756">
        <f t="shared" si="3"/>
        <v>0</v>
      </c>
      <c r="K83"/>
      <c r="L83" s="283">
        <f>$C83*'2.) Enrollment'!H53*'4.) Yearly Budget'!$K$17</f>
        <v>0</v>
      </c>
      <c r="M83" s="283">
        <f>$C83*'2.) Enrollment'!J53*'4.) Yearly Budget'!$N$17</f>
        <v>0</v>
      </c>
      <c r="N83" s="283">
        <f>$C83*'2.) Enrollment'!L53*'4.) Yearly Budget'!$Q$17</f>
        <v>0</v>
      </c>
      <c r="O83" s="283">
        <f>$C83*'2.) Enrollment'!N53*'4.) Yearly Budget'!$T$17</f>
        <v>0</v>
      </c>
      <c r="P83" s="756">
        <f t="shared" si="4"/>
        <v>0</v>
      </c>
      <c r="Q83"/>
      <c r="R83">
        <f t="shared" si="5"/>
        <v>0</v>
      </c>
      <c r="T83">
        <f>IF(ISBLANK('2.) Enrollment'!H53)=TRUE,'2.) Enrollment'!G53,'2.) Enrollment'!H53)</f>
        <v>0</v>
      </c>
      <c r="U83">
        <f>IF(ISBLANK('2.) Enrollment'!J53)=TRUE,'2.) Enrollment'!I53,'2.) Enrollment'!J53)</f>
        <v>0</v>
      </c>
      <c r="V83">
        <f>IF(ISBLANK('2.) Enrollment'!L53)=TRUE,'2.) Enrollment'!K53,'2.) Enrollment'!L53)</f>
        <v>0</v>
      </c>
      <c r="W83">
        <f>IF(ISBLANK('2.) Enrollment'!N53)=TRUE,'2.) Enrollment'!M53,'2.) Enrollment'!N53)</f>
        <v>0</v>
      </c>
    </row>
    <row r="84" spans="1:23">
      <c r="A84" s="1">
        <v>33</v>
      </c>
      <c r="B84" s="434" t="str">
        <f>IF(OR('2.) Enrollment'!C54=$B$109,ISBLANK('2.) Enrollment'!C54)),"-",'2.) Enrollment'!C54)</f>
        <v>-</v>
      </c>
      <c r="C84" s="198">
        <f>IF(ISNA(MATCH(School,$M$15:$M$27,0)),1,0)*IFERROR(VLOOKUP($B84,'Funding by District'!$D$6:$F$683,3,FALSE),0)</f>
        <v>0</v>
      </c>
      <c r="D84"/>
      <c r="E84">
        <f t="shared" si="2"/>
        <v>0</v>
      </c>
      <c r="F84" s="283">
        <f>$C84*'2.) Enrollment'!G54*'4.) Yearly Budget'!$J$17</f>
        <v>0</v>
      </c>
      <c r="G84" s="283">
        <f>$C84*'2.) Enrollment'!I54*'4.) Yearly Budget'!$M$17</f>
        <v>0</v>
      </c>
      <c r="H84" s="283">
        <f>$C84*'2.) Enrollment'!K54*'4.) Yearly Budget'!$P$17</f>
        <v>0</v>
      </c>
      <c r="I84" s="283">
        <f>$C84*'2.) Enrollment'!M54*'4.) Yearly Budget'!$S$17</f>
        <v>0</v>
      </c>
      <c r="J84" s="756">
        <f t="shared" si="3"/>
        <v>0</v>
      </c>
      <c r="K84"/>
      <c r="L84" s="283">
        <f>$C84*'2.) Enrollment'!H54*'4.) Yearly Budget'!$K$17</f>
        <v>0</v>
      </c>
      <c r="M84" s="283">
        <f>$C84*'2.) Enrollment'!J54*'4.) Yearly Budget'!$N$17</f>
        <v>0</v>
      </c>
      <c r="N84" s="283">
        <f>$C84*'2.) Enrollment'!L54*'4.) Yearly Budget'!$Q$17</f>
        <v>0</v>
      </c>
      <c r="O84" s="283">
        <f>$C84*'2.) Enrollment'!N54*'4.) Yearly Budget'!$T$17</f>
        <v>0</v>
      </c>
      <c r="P84" s="756">
        <f t="shared" si="4"/>
        <v>0</v>
      </c>
      <c r="Q84"/>
      <c r="R84">
        <f t="shared" si="5"/>
        <v>0</v>
      </c>
      <c r="T84">
        <f>IF(ISBLANK('2.) Enrollment'!H54)=TRUE,'2.) Enrollment'!G54,'2.) Enrollment'!H54)</f>
        <v>0</v>
      </c>
      <c r="U84">
        <f>IF(ISBLANK('2.) Enrollment'!J54)=TRUE,'2.) Enrollment'!I54,'2.) Enrollment'!J54)</f>
        <v>0</v>
      </c>
      <c r="V84">
        <f>IF(ISBLANK('2.) Enrollment'!L54)=TRUE,'2.) Enrollment'!K54,'2.) Enrollment'!L54)</f>
        <v>0</v>
      </c>
      <c r="W84">
        <f>IF(ISBLANK('2.) Enrollment'!N54)=TRUE,'2.) Enrollment'!M54,'2.) Enrollment'!N54)</f>
        <v>0</v>
      </c>
    </row>
    <row r="85" spans="1:23">
      <c r="A85" s="1">
        <v>34</v>
      </c>
      <c r="B85" s="434" t="str">
        <f>IF(OR('2.) Enrollment'!C55=$B$109,ISBLANK('2.) Enrollment'!C55)),"-",'2.) Enrollment'!C55)</f>
        <v>-</v>
      </c>
      <c r="C85" s="198">
        <f>IF(ISNA(MATCH(School,$M$15:$M$27,0)),1,0)*IFERROR(VLOOKUP($B85,'Funding by District'!$D$6:$F$683,3,FALSE),0)</f>
        <v>0</v>
      </c>
      <c r="D85"/>
      <c r="E85">
        <f t="shared" si="2"/>
        <v>0</v>
      </c>
      <c r="F85" s="283">
        <f>$C85*'2.) Enrollment'!G55*'4.) Yearly Budget'!$J$17</f>
        <v>0</v>
      </c>
      <c r="G85" s="283">
        <f>$C85*'2.) Enrollment'!I55*'4.) Yearly Budget'!$M$17</f>
        <v>0</v>
      </c>
      <c r="H85" s="283">
        <f>$C85*'2.) Enrollment'!K55*'4.) Yearly Budget'!$P$17</f>
        <v>0</v>
      </c>
      <c r="I85" s="283">
        <f>$C85*'2.) Enrollment'!M55*'4.) Yearly Budget'!$S$17</f>
        <v>0</v>
      </c>
      <c r="J85" s="756">
        <f t="shared" si="3"/>
        <v>0</v>
      </c>
      <c r="K85"/>
      <c r="L85" s="283">
        <f>$C85*'2.) Enrollment'!H55*'4.) Yearly Budget'!$K$17</f>
        <v>0</v>
      </c>
      <c r="M85" s="283">
        <f>$C85*'2.) Enrollment'!J55*'4.) Yearly Budget'!$N$17</f>
        <v>0</v>
      </c>
      <c r="N85" s="283">
        <f>$C85*'2.) Enrollment'!L55*'4.) Yearly Budget'!$Q$17</f>
        <v>0</v>
      </c>
      <c r="O85" s="283">
        <f>$C85*'2.) Enrollment'!N55*'4.) Yearly Budget'!$T$17</f>
        <v>0</v>
      </c>
      <c r="P85" s="756">
        <f t="shared" si="4"/>
        <v>0</v>
      </c>
      <c r="Q85"/>
      <c r="R85">
        <f t="shared" si="5"/>
        <v>0</v>
      </c>
      <c r="T85">
        <f>IF(ISBLANK('2.) Enrollment'!H55)=TRUE,'2.) Enrollment'!G55,'2.) Enrollment'!H55)</f>
        <v>0</v>
      </c>
      <c r="U85">
        <f>IF(ISBLANK('2.) Enrollment'!J55)=TRUE,'2.) Enrollment'!I55,'2.) Enrollment'!J55)</f>
        <v>0</v>
      </c>
      <c r="V85">
        <f>IF(ISBLANK('2.) Enrollment'!L55)=TRUE,'2.) Enrollment'!K55,'2.) Enrollment'!L55)</f>
        <v>0</v>
      </c>
      <c r="W85">
        <f>IF(ISBLANK('2.) Enrollment'!N55)=TRUE,'2.) Enrollment'!M55,'2.) Enrollment'!N55)</f>
        <v>0</v>
      </c>
    </row>
    <row r="86" spans="1:23">
      <c r="A86" s="1">
        <v>35</v>
      </c>
      <c r="B86" s="434" t="str">
        <f>IF(OR('2.) Enrollment'!C56=$B$109,ISBLANK('2.) Enrollment'!C56)),"-",'2.) Enrollment'!C56)</f>
        <v>-</v>
      </c>
      <c r="C86" s="198">
        <f>IF(ISNA(MATCH(School,$M$15:$M$27,0)),1,0)*IFERROR(VLOOKUP($B86,'Funding by District'!$D$6:$F$683,3,FALSE),0)</f>
        <v>0</v>
      </c>
      <c r="D86"/>
      <c r="E86">
        <f t="shared" si="2"/>
        <v>0</v>
      </c>
      <c r="F86" s="283">
        <f>$C86*'2.) Enrollment'!G56*'4.) Yearly Budget'!$J$17</f>
        <v>0</v>
      </c>
      <c r="G86" s="283">
        <f>$C86*'2.) Enrollment'!I56*'4.) Yearly Budget'!$M$17</f>
        <v>0</v>
      </c>
      <c r="H86" s="283">
        <f>$C86*'2.) Enrollment'!K56*'4.) Yearly Budget'!$P$17</f>
        <v>0</v>
      </c>
      <c r="I86" s="283">
        <f>$C86*'2.) Enrollment'!M56*'4.) Yearly Budget'!$S$17</f>
        <v>0</v>
      </c>
      <c r="J86" s="756">
        <f t="shared" si="3"/>
        <v>0</v>
      </c>
      <c r="K86"/>
      <c r="L86" s="283">
        <f>$C86*'2.) Enrollment'!H56*'4.) Yearly Budget'!$K$17</f>
        <v>0</v>
      </c>
      <c r="M86" s="283">
        <f>$C86*'2.) Enrollment'!J56*'4.) Yearly Budget'!$N$17</f>
        <v>0</v>
      </c>
      <c r="N86" s="283">
        <f>$C86*'2.) Enrollment'!L56*'4.) Yearly Budget'!$Q$17</f>
        <v>0</v>
      </c>
      <c r="O86" s="283">
        <f>$C86*'2.) Enrollment'!N56*'4.) Yearly Budget'!$T$17</f>
        <v>0</v>
      </c>
      <c r="P86" s="756">
        <f t="shared" si="4"/>
        <v>0</v>
      </c>
      <c r="Q86"/>
      <c r="R86">
        <f t="shared" si="5"/>
        <v>0</v>
      </c>
      <c r="T86">
        <f>IF(ISBLANK('2.) Enrollment'!H56)=TRUE,'2.) Enrollment'!G56,'2.) Enrollment'!H56)</f>
        <v>0</v>
      </c>
      <c r="U86">
        <f>IF(ISBLANK('2.) Enrollment'!J56)=TRUE,'2.) Enrollment'!I56,'2.) Enrollment'!J56)</f>
        <v>0</v>
      </c>
      <c r="V86">
        <f>IF(ISBLANK('2.) Enrollment'!L56)=TRUE,'2.) Enrollment'!K56,'2.) Enrollment'!L56)</f>
        <v>0</v>
      </c>
      <c r="W86">
        <f>IF(ISBLANK('2.) Enrollment'!N56)=TRUE,'2.) Enrollment'!M56,'2.) Enrollment'!N56)</f>
        <v>0</v>
      </c>
    </row>
    <row r="87" spans="1:23">
      <c r="A87" s="1">
        <v>36</v>
      </c>
      <c r="B87" s="434" t="str">
        <f>IF(OR('2.) Enrollment'!C57=$B$109,ISBLANK('2.) Enrollment'!C57)),"-",'2.) Enrollment'!C57)</f>
        <v>-</v>
      </c>
      <c r="C87" s="198">
        <f>IF(ISNA(MATCH(School,$M$15:$M$27,0)),1,0)*IFERROR(VLOOKUP($B87,'Funding by District'!$D$6:$F$683,3,FALSE),0)</f>
        <v>0</v>
      </c>
      <c r="D87"/>
      <c r="E87">
        <f t="shared" si="2"/>
        <v>0</v>
      </c>
      <c r="F87" s="283">
        <f>$C87*'2.) Enrollment'!G57*'4.) Yearly Budget'!$J$17</f>
        <v>0</v>
      </c>
      <c r="G87" s="283">
        <f>$C87*'2.) Enrollment'!I57*'4.) Yearly Budget'!$M$17</f>
        <v>0</v>
      </c>
      <c r="H87" s="283">
        <f>$C87*'2.) Enrollment'!K57*'4.) Yearly Budget'!$P$17</f>
        <v>0</v>
      </c>
      <c r="I87" s="283">
        <f>$C87*'2.) Enrollment'!M57*'4.) Yearly Budget'!$S$17</f>
        <v>0</v>
      </c>
      <c r="J87" s="756">
        <f t="shared" si="3"/>
        <v>0</v>
      </c>
      <c r="K87"/>
      <c r="L87" s="283">
        <f>$C87*'2.) Enrollment'!H57*'4.) Yearly Budget'!$K$17</f>
        <v>0</v>
      </c>
      <c r="M87" s="283">
        <f>$C87*'2.) Enrollment'!J57*'4.) Yearly Budget'!$N$17</f>
        <v>0</v>
      </c>
      <c r="N87" s="283">
        <f>$C87*'2.) Enrollment'!L57*'4.) Yearly Budget'!$Q$17</f>
        <v>0</v>
      </c>
      <c r="O87" s="283">
        <f>$C87*'2.) Enrollment'!N57*'4.) Yearly Budget'!$T$17</f>
        <v>0</v>
      </c>
      <c r="P87" s="756">
        <f t="shared" si="4"/>
        <v>0</v>
      </c>
      <c r="Q87"/>
      <c r="R87">
        <f t="shared" si="5"/>
        <v>0</v>
      </c>
      <c r="T87">
        <f>IF(ISBLANK('2.) Enrollment'!H57)=TRUE,'2.) Enrollment'!G57,'2.) Enrollment'!H57)</f>
        <v>0</v>
      </c>
      <c r="U87">
        <f>IF(ISBLANK('2.) Enrollment'!J57)=TRUE,'2.) Enrollment'!I57,'2.) Enrollment'!J57)</f>
        <v>0</v>
      </c>
      <c r="V87">
        <f>IF(ISBLANK('2.) Enrollment'!L57)=TRUE,'2.) Enrollment'!K57,'2.) Enrollment'!L57)</f>
        <v>0</v>
      </c>
      <c r="W87">
        <f>IF(ISBLANK('2.) Enrollment'!N57)=TRUE,'2.) Enrollment'!M57,'2.) Enrollment'!N57)</f>
        <v>0</v>
      </c>
    </row>
    <row r="88" spans="1:23">
      <c r="A88" s="1">
        <v>37</v>
      </c>
      <c r="B88" s="434" t="str">
        <f>IF(OR('2.) Enrollment'!C58=$B$109,ISBLANK('2.) Enrollment'!C58)),"-",'2.) Enrollment'!C58)</f>
        <v>-</v>
      </c>
      <c r="C88" s="198">
        <f>IF(ISNA(MATCH(School,$M$15:$M$27,0)),1,0)*IFERROR(VLOOKUP($B88,'Funding by District'!$D$6:$F$683,3,FALSE),0)</f>
        <v>0</v>
      </c>
      <c r="D88"/>
      <c r="E88">
        <f t="shared" si="2"/>
        <v>0</v>
      </c>
      <c r="F88" s="283">
        <f>$C88*'2.) Enrollment'!G58*'4.) Yearly Budget'!$J$17</f>
        <v>0</v>
      </c>
      <c r="G88" s="283">
        <f>$C88*'2.) Enrollment'!I58*'4.) Yearly Budget'!$M$17</f>
        <v>0</v>
      </c>
      <c r="H88" s="283">
        <f>$C88*'2.) Enrollment'!K58*'4.) Yearly Budget'!$P$17</f>
        <v>0</v>
      </c>
      <c r="I88" s="283">
        <f>$C88*'2.) Enrollment'!M58*'4.) Yearly Budget'!$S$17</f>
        <v>0</v>
      </c>
      <c r="J88" s="756">
        <f t="shared" si="3"/>
        <v>0</v>
      </c>
      <c r="K88"/>
      <c r="L88" s="283">
        <f>$C88*'2.) Enrollment'!H58*'4.) Yearly Budget'!$K$17</f>
        <v>0</v>
      </c>
      <c r="M88" s="283">
        <f>$C88*'2.) Enrollment'!J58*'4.) Yearly Budget'!$N$17</f>
        <v>0</v>
      </c>
      <c r="N88" s="283">
        <f>$C88*'2.) Enrollment'!L58*'4.) Yearly Budget'!$Q$17</f>
        <v>0</v>
      </c>
      <c r="O88" s="283">
        <f>$C88*'2.) Enrollment'!N58*'4.) Yearly Budget'!$T$17</f>
        <v>0</v>
      </c>
      <c r="P88" s="756">
        <f t="shared" si="4"/>
        <v>0</v>
      </c>
      <c r="Q88"/>
      <c r="R88">
        <f t="shared" si="5"/>
        <v>0</v>
      </c>
      <c r="T88">
        <f>IF(ISBLANK('2.) Enrollment'!H58)=TRUE,'2.) Enrollment'!G58,'2.) Enrollment'!H58)</f>
        <v>0</v>
      </c>
      <c r="U88">
        <f>IF(ISBLANK('2.) Enrollment'!J58)=TRUE,'2.) Enrollment'!I58,'2.) Enrollment'!J58)</f>
        <v>0</v>
      </c>
      <c r="V88">
        <f>IF(ISBLANK('2.) Enrollment'!L58)=TRUE,'2.) Enrollment'!K58,'2.) Enrollment'!L58)</f>
        <v>0</v>
      </c>
      <c r="W88">
        <f>IF(ISBLANK('2.) Enrollment'!N58)=TRUE,'2.) Enrollment'!M58,'2.) Enrollment'!N58)</f>
        <v>0</v>
      </c>
    </row>
    <row r="89" spans="1:23">
      <c r="A89" s="1">
        <v>38</v>
      </c>
      <c r="B89" s="434" t="str">
        <f>IF(OR('2.) Enrollment'!C59=$B$109,ISBLANK('2.) Enrollment'!C59)),"-",'2.) Enrollment'!C59)</f>
        <v>-</v>
      </c>
      <c r="C89" s="198">
        <f>IF(ISNA(MATCH(School,$M$15:$M$27,0)),1,0)*IFERROR(VLOOKUP($B89,'Funding by District'!$D$6:$F$683,3,FALSE),0)</f>
        <v>0</v>
      </c>
      <c r="D89"/>
      <c r="E89">
        <f t="shared" si="2"/>
        <v>0</v>
      </c>
      <c r="F89" s="283">
        <f>$C89*'2.) Enrollment'!G59*'4.) Yearly Budget'!$J$17</f>
        <v>0</v>
      </c>
      <c r="G89" s="283">
        <f>$C89*'2.) Enrollment'!I59*'4.) Yearly Budget'!$M$17</f>
        <v>0</v>
      </c>
      <c r="H89" s="283">
        <f>$C89*'2.) Enrollment'!K59*'4.) Yearly Budget'!$P$17</f>
        <v>0</v>
      </c>
      <c r="I89" s="283">
        <f>$C89*'2.) Enrollment'!M59*'4.) Yearly Budget'!$S$17</f>
        <v>0</v>
      </c>
      <c r="J89" s="756">
        <f t="shared" si="3"/>
        <v>0</v>
      </c>
      <c r="K89"/>
      <c r="L89" s="283">
        <f>$C89*'2.) Enrollment'!H59*'4.) Yearly Budget'!$K$17</f>
        <v>0</v>
      </c>
      <c r="M89" s="283">
        <f>$C89*'2.) Enrollment'!J59*'4.) Yearly Budget'!$N$17</f>
        <v>0</v>
      </c>
      <c r="N89" s="283">
        <f>$C89*'2.) Enrollment'!L59*'4.) Yearly Budget'!$Q$17</f>
        <v>0</v>
      </c>
      <c r="O89" s="283">
        <f>$C89*'2.) Enrollment'!N59*'4.) Yearly Budget'!$T$17</f>
        <v>0</v>
      </c>
      <c r="P89" s="756">
        <f t="shared" si="4"/>
        <v>0</v>
      </c>
      <c r="Q89"/>
      <c r="R89">
        <f t="shared" si="5"/>
        <v>0</v>
      </c>
      <c r="T89">
        <f>IF(ISBLANK('2.) Enrollment'!H59)=TRUE,'2.) Enrollment'!G59,'2.) Enrollment'!H59)</f>
        <v>0</v>
      </c>
      <c r="U89">
        <f>IF(ISBLANK('2.) Enrollment'!J59)=TRUE,'2.) Enrollment'!I59,'2.) Enrollment'!J59)</f>
        <v>0</v>
      </c>
      <c r="V89">
        <f>IF(ISBLANK('2.) Enrollment'!L59)=TRUE,'2.) Enrollment'!K59,'2.) Enrollment'!L59)</f>
        <v>0</v>
      </c>
      <c r="W89">
        <f>IF(ISBLANK('2.) Enrollment'!N59)=TRUE,'2.) Enrollment'!M59,'2.) Enrollment'!N59)</f>
        <v>0</v>
      </c>
    </row>
    <row r="90" spans="1:23">
      <c r="A90" s="1">
        <v>39</v>
      </c>
      <c r="B90" s="434" t="str">
        <f>IF(OR('2.) Enrollment'!C60=$B$109,ISBLANK('2.) Enrollment'!C60)),"-",'2.) Enrollment'!C60)</f>
        <v>-</v>
      </c>
      <c r="C90" s="198">
        <f>IF(ISNA(MATCH(School,$M$15:$M$27,0)),1,0)*IFERROR(VLOOKUP($B90,'Funding by District'!$D$6:$F$683,3,FALSE),0)</f>
        <v>0</v>
      </c>
      <c r="D90"/>
      <c r="E90">
        <f t="shared" si="2"/>
        <v>0</v>
      </c>
      <c r="F90" s="283">
        <f>$C90*'2.) Enrollment'!G60*'4.) Yearly Budget'!$J$17</f>
        <v>0</v>
      </c>
      <c r="G90" s="283">
        <f>$C90*'2.) Enrollment'!I60*'4.) Yearly Budget'!$M$17</f>
        <v>0</v>
      </c>
      <c r="H90" s="283">
        <f>$C90*'2.) Enrollment'!K60*'4.) Yearly Budget'!$P$17</f>
        <v>0</v>
      </c>
      <c r="I90" s="283">
        <f>$C90*'2.) Enrollment'!M60*'4.) Yearly Budget'!$S$17</f>
        <v>0</v>
      </c>
      <c r="J90" s="756">
        <f t="shared" si="3"/>
        <v>0</v>
      </c>
      <c r="K90"/>
      <c r="L90" s="283">
        <f>$C90*'2.) Enrollment'!H60*'4.) Yearly Budget'!$K$17</f>
        <v>0</v>
      </c>
      <c r="M90" s="283">
        <f>$C90*'2.) Enrollment'!J60*'4.) Yearly Budget'!$N$17</f>
        <v>0</v>
      </c>
      <c r="N90" s="283">
        <f>$C90*'2.) Enrollment'!L60*'4.) Yearly Budget'!$Q$17</f>
        <v>0</v>
      </c>
      <c r="O90" s="283">
        <f>$C90*'2.) Enrollment'!N60*'4.) Yearly Budget'!$T$17</f>
        <v>0</v>
      </c>
      <c r="P90" s="756">
        <f t="shared" si="4"/>
        <v>0</v>
      </c>
      <c r="Q90"/>
      <c r="R90">
        <f t="shared" si="5"/>
        <v>0</v>
      </c>
      <c r="T90">
        <f>IF(ISBLANK('2.) Enrollment'!H60)=TRUE,'2.) Enrollment'!G60,'2.) Enrollment'!H60)</f>
        <v>0</v>
      </c>
      <c r="U90">
        <f>IF(ISBLANK('2.) Enrollment'!J60)=TRUE,'2.) Enrollment'!I60,'2.) Enrollment'!J60)</f>
        <v>0</v>
      </c>
      <c r="V90">
        <f>IF(ISBLANK('2.) Enrollment'!L60)=TRUE,'2.) Enrollment'!K60,'2.) Enrollment'!L60)</f>
        <v>0</v>
      </c>
      <c r="W90">
        <f>IF(ISBLANK('2.) Enrollment'!N60)=TRUE,'2.) Enrollment'!M60,'2.) Enrollment'!N60)</f>
        <v>0</v>
      </c>
    </row>
    <row r="91" spans="1:23">
      <c r="A91" s="1">
        <v>40</v>
      </c>
      <c r="B91" s="434" t="str">
        <f>IF(OR('2.) Enrollment'!C61=$B$109,ISBLANK('2.) Enrollment'!C61)),"-",'2.) Enrollment'!C61)</f>
        <v>-</v>
      </c>
      <c r="C91" s="198">
        <f>IF(ISNA(MATCH(School,$M$15:$M$27,0)),1,0)*IFERROR(VLOOKUP($B91,'Funding by District'!$D$6:$F$683,3,FALSE),0)</f>
        <v>0</v>
      </c>
      <c r="D91"/>
      <c r="E91">
        <f t="shared" si="2"/>
        <v>0</v>
      </c>
      <c r="F91" s="283">
        <f>$C91*'2.) Enrollment'!G61*'4.) Yearly Budget'!$J$17</f>
        <v>0</v>
      </c>
      <c r="G91" s="283">
        <f>$C91*'2.) Enrollment'!I61*'4.) Yearly Budget'!$M$17</f>
        <v>0</v>
      </c>
      <c r="H91" s="283">
        <f>$C91*'2.) Enrollment'!K61*'4.) Yearly Budget'!$P$17</f>
        <v>0</v>
      </c>
      <c r="I91" s="283">
        <f>$C91*'2.) Enrollment'!M61*'4.) Yearly Budget'!$S$17</f>
        <v>0</v>
      </c>
      <c r="J91" s="756">
        <f t="shared" si="3"/>
        <v>0</v>
      </c>
      <c r="K91"/>
      <c r="L91" s="283">
        <f>$C91*'2.) Enrollment'!H61*'4.) Yearly Budget'!$K$17</f>
        <v>0</v>
      </c>
      <c r="M91" s="283">
        <f>$C91*'2.) Enrollment'!J61*'4.) Yearly Budget'!$N$17</f>
        <v>0</v>
      </c>
      <c r="N91" s="283">
        <f>$C91*'2.) Enrollment'!L61*'4.) Yearly Budget'!$Q$17</f>
        <v>0</v>
      </c>
      <c r="O91" s="283">
        <f>$C91*'2.) Enrollment'!N61*'4.) Yearly Budget'!$T$17</f>
        <v>0</v>
      </c>
      <c r="P91" s="756">
        <f t="shared" si="4"/>
        <v>0</v>
      </c>
      <c r="Q91"/>
      <c r="R91">
        <f t="shared" si="5"/>
        <v>0</v>
      </c>
      <c r="T91">
        <f>IF(ISBLANK('2.) Enrollment'!H61)=TRUE,'2.) Enrollment'!G61,'2.) Enrollment'!H61)</f>
        <v>0</v>
      </c>
      <c r="U91">
        <f>IF(ISBLANK('2.) Enrollment'!J61)=TRUE,'2.) Enrollment'!I61,'2.) Enrollment'!J61)</f>
        <v>0</v>
      </c>
      <c r="V91">
        <f>IF(ISBLANK('2.) Enrollment'!L61)=TRUE,'2.) Enrollment'!K61,'2.) Enrollment'!L61)</f>
        <v>0</v>
      </c>
      <c r="W91">
        <f>IF(ISBLANK('2.) Enrollment'!N61)=TRUE,'2.) Enrollment'!M61,'2.) Enrollment'!N61)</f>
        <v>0</v>
      </c>
    </row>
    <row r="92" spans="1:23">
      <c r="A92" s="1">
        <v>41</v>
      </c>
      <c r="B92" s="434" t="str">
        <f>IF(OR('2.) Enrollment'!C62=$B$109,ISBLANK('2.) Enrollment'!C62)),"-",'2.) Enrollment'!C62)</f>
        <v>-</v>
      </c>
      <c r="C92" s="198">
        <f>IF(ISNA(MATCH(School,$M$15:$M$27,0)),1,0)*IFERROR(VLOOKUP($B92,'Funding by District'!$D$6:$F$683,3,FALSE),0)</f>
        <v>0</v>
      </c>
      <c r="D92"/>
      <c r="E92">
        <f t="shared" si="2"/>
        <v>0</v>
      </c>
      <c r="F92" s="283">
        <f>$C92*'2.) Enrollment'!G62*'4.) Yearly Budget'!$J$17</f>
        <v>0</v>
      </c>
      <c r="G92" s="283">
        <f>$C92*'2.) Enrollment'!I62*'4.) Yearly Budget'!$M$17</f>
        <v>0</v>
      </c>
      <c r="H92" s="283">
        <f>$C92*'2.) Enrollment'!K62*'4.) Yearly Budget'!$P$17</f>
        <v>0</v>
      </c>
      <c r="I92" s="283">
        <f>$C92*'2.) Enrollment'!M62*'4.) Yearly Budget'!$S$17</f>
        <v>0</v>
      </c>
      <c r="J92" s="756">
        <f t="shared" si="3"/>
        <v>0</v>
      </c>
      <c r="K92"/>
      <c r="L92" s="283">
        <f>$C92*'2.) Enrollment'!H62*'4.) Yearly Budget'!$K$17</f>
        <v>0</v>
      </c>
      <c r="M92" s="283">
        <f>$C92*'2.) Enrollment'!J62*'4.) Yearly Budget'!$N$17</f>
        <v>0</v>
      </c>
      <c r="N92" s="283">
        <f>$C92*'2.) Enrollment'!L62*'4.) Yearly Budget'!$Q$17</f>
        <v>0</v>
      </c>
      <c r="O92" s="283">
        <f>$C92*'2.) Enrollment'!N62*'4.) Yearly Budget'!$T$17</f>
        <v>0</v>
      </c>
      <c r="P92" s="756">
        <f t="shared" si="4"/>
        <v>0</v>
      </c>
      <c r="Q92"/>
      <c r="R92">
        <f t="shared" si="5"/>
        <v>0</v>
      </c>
      <c r="T92">
        <f>IF(ISBLANK('2.) Enrollment'!H62)=TRUE,'2.) Enrollment'!G62,'2.) Enrollment'!H62)</f>
        <v>0</v>
      </c>
      <c r="U92">
        <f>IF(ISBLANK('2.) Enrollment'!J62)=TRUE,'2.) Enrollment'!I62,'2.) Enrollment'!J62)</f>
        <v>0</v>
      </c>
      <c r="V92">
        <f>IF(ISBLANK('2.) Enrollment'!L62)=TRUE,'2.) Enrollment'!K62,'2.) Enrollment'!L62)</f>
        <v>0</v>
      </c>
      <c r="W92">
        <f>IF(ISBLANK('2.) Enrollment'!N62)=TRUE,'2.) Enrollment'!M62,'2.) Enrollment'!N62)</f>
        <v>0</v>
      </c>
    </row>
    <row r="93" spans="1:23">
      <c r="A93" s="1">
        <v>42</v>
      </c>
      <c r="B93" s="434" t="str">
        <f>IF(OR('2.) Enrollment'!C63=$B$109,ISBLANK('2.) Enrollment'!C63)),"-",'2.) Enrollment'!C63)</f>
        <v>-</v>
      </c>
      <c r="C93" s="198">
        <f>IF(ISNA(MATCH(School,$M$15:$M$27,0)),1,0)*IFERROR(VLOOKUP($B93,'Funding by District'!$D$6:$F$683,3,FALSE),0)</f>
        <v>0</v>
      </c>
      <c r="D93"/>
      <c r="E93">
        <f t="shared" si="2"/>
        <v>0</v>
      </c>
      <c r="F93" s="283">
        <f>$C93*'2.) Enrollment'!G63*'4.) Yearly Budget'!$J$17</f>
        <v>0</v>
      </c>
      <c r="G93" s="283">
        <f>$C93*'2.) Enrollment'!I63*'4.) Yearly Budget'!$M$17</f>
        <v>0</v>
      </c>
      <c r="H93" s="283">
        <f>$C93*'2.) Enrollment'!K63*'4.) Yearly Budget'!$P$17</f>
        <v>0</v>
      </c>
      <c r="I93" s="283">
        <f>$C93*'2.) Enrollment'!M63*'4.) Yearly Budget'!$S$17</f>
        <v>0</v>
      </c>
      <c r="J93" s="756">
        <f t="shared" si="3"/>
        <v>0</v>
      </c>
      <c r="K93"/>
      <c r="L93" s="283">
        <f>$C93*'2.) Enrollment'!H63*'4.) Yearly Budget'!$K$17</f>
        <v>0</v>
      </c>
      <c r="M93" s="283">
        <f>$C93*'2.) Enrollment'!J63*'4.) Yearly Budget'!$N$17</f>
        <v>0</v>
      </c>
      <c r="N93" s="283">
        <f>$C93*'2.) Enrollment'!L63*'4.) Yearly Budget'!$Q$17</f>
        <v>0</v>
      </c>
      <c r="O93" s="283">
        <f>$C93*'2.) Enrollment'!N63*'4.) Yearly Budget'!$T$17</f>
        <v>0</v>
      </c>
      <c r="P93" s="756">
        <f t="shared" si="4"/>
        <v>0</v>
      </c>
      <c r="Q93"/>
      <c r="R93">
        <f t="shared" si="5"/>
        <v>0</v>
      </c>
      <c r="T93">
        <f>IF(ISBLANK('2.) Enrollment'!H63)=TRUE,'2.) Enrollment'!G63,'2.) Enrollment'!H63)</f>
        <v>0</v>
      </c>
      <c r="U93">
        <f>IF(ISBLANK('2.) Enrollment'!J63)=TRUE,'2.) Enrollment'!I63,'2.) Enrollment'!J63)</f>
        <v>0</v>
      </c>
      <c r="V93">
        <f>IF(ISBLANK('2.) Enrollment'!L63)=TRUE,'2.) Enrollment'!K63,'2.) Enrollment'!L63)</f>
        <v>0</v>
      </c>
      <c r="W93">
        <f>IF(ISBLANK('2.) Enrollment'!N63)=TRUE,'2.) Enrollment'!M63,'2.) Enrollment'!N63)</f>
        <v>0</v>
      </c>
    </row>
    <row r="94" spans="1:23">
      <c r="A94" s="1">
        <v>43</v>
      </c>
      <c r="B94" s="434" t="str">
        <f>IF(OR('2.) Enrollment'!C64=$B$109,ISBLANK('2.) Enrollment'!C64)),"-",'2.) Enrollment'!C64)</f>
        <v>-</v>
      </c>
      <c r="C94" s="198">
        <f>IF(ISNA(MATCH(School,$M$15:$M$27,0)),1,0)*IFERROR(VLOOKUP($B94,'Funding by District'!$D$6:$F$683,3,FALSE),0)</f>
        <v>0</v>
      </c>
      <c r="D94"/>
      <c r="E94">
        <f t="shared" si="2"/>
        <v>0</v>
      </c>
      <c r="F94" s="283">
        <f>$C94*'2.) Enrollment'!G64*'4.) Yearly Budget'!$J$17</f>
        <v>0</v>
      </c>
      <c r="G94" s="283">
        <f>$C94*'2.) Enrollment'!I64*'4.) Yearly Budget'!$M$17</f>
        <v>0</v>
      </c>
      <c r="H94" s="283">
        <f>$C94*'2.) Enrollment'!K64*'4.) Yearly Budget'!$P$17</f>
        <v>0</v>
      </c>
      <c r="I94" s="283">
        <f>$C94*'2.) Enrollment'!M64*'4.) Yearly Budget'!$S$17</f>
        <v>0</v>
      </c>
      <c r="J94" s="756">
        <f t="shared" si="3"/>
        <v>0</v>
      </c>
      <c r="K94"/>
      <c r="L94" s="283">
        <f>$C94*'2.) Enrollment'!H64*'4.) Yearly Budget'!$K$17</f>
        <v>0</v>
      </c>
      <c r="M94" s="283">
        <f>$C94*'2.) Enrollment'!J64*'4.) Yearly Budget'!$N$17</f>
        <v>0</v>
      </c>
      <c r="N94" s="283">
        <f>$C94*'2.) Enrollment'!L64*'4.) Yearly Budget'!$Q$17</f>
        <v>0</v>
      </c>
      <c r="O94" s="283">
        <f>$C94*'2.) Enrollment'!N64*'4.) Yearly Budget'!$T$17</f>
        <v>0</v>
      </c>
      <c r="P94" s="756">
        <f t="shared" si="4"/>
        <v>0</v>
      </c>
      <c r="Q94"/>
      <c r="R94">
        <f t="shared" si="5"/>
        <v>0</v>
      </c>
      <c r="T94">
        <f>IF(ISBLANK('2.) Enrollment'!H64)=TRUE,'2.) Enrollment'!G64,'2.) Enrollment'!H64)</f>
        <v>0</v>
      </c>
      <c r="U94">
        <f>IF(ISBLANK('2.) Enrollment'!J64)=TRUE,'2.) Enrollment'!I64,'2.) Enrollment'!J64)</f>
        <v>0</v>
      </c>
      <c r="V94">
        <f>IF(ISBLANK('2.) Enrollment'!L64)=TRUE,'2.) Enrollment'!K64,'2.) Enrollment'!L64)</f>
        <v>0</v>
      </c>
      <c r="W94">
        <f>IF(ISBLANK('2.) Enrollment'!N64)=TRUE,'2.) Enrollment'!M64,'2.) Enrollment'!N64)</f>
        <v>0</v>
      </c>
    </row>
    <row r="95" spans="1:23">
      <c r="A95" s="1">
        <v>44</v>
      </c>
      <c r="B95" s="434" t="str">
        <f>IF(OR('2.) Enrollment'!C65=$B$109,ISBLANK('2.) Enrollment'!C65)),"-",'2.) Enrollment'!C65)</f>
        <v>-</v>
      </c>
      <c r="C95" s="198">
        <f>IF(ISNA(MATCH(School,$M$15:$M$27,0)),1,0)*IFERROR(VLOOKUP($B95,'Funding by District'!$D$6:$F$683,3,FALSE),0)</f>
        <v>0</v>
      </c>
      <c r="D95"/>
      <c r="E95">
        <f t="shared" si="2"/>
        <v>0</v>
      </c>
      <c r="F95" s="283">
        <f>$C95*'2.) Enrollment'!G65*'4.) Yearly Budget'!$J$17</f>
        <v>0</v>
      </c>
      <c r="G95" s="283">
        <f>$C95*'2.) Enrollment'!I65*'4.) Yearly Budget'!$M$17</f>
        <v>0</v>
      </c>
      <c r="H95" s="283">
        <f>$C95*'2.) Enrollment'!K65*'4.) Yearly Budget'!$P$17</f>
        <v>0</v>
      </c>
      <c r="I95" s="283">
        <f>$C95*'2.) Enrollment'!M65*'4.) Yearly Budget'!$S$17</f>
        <v>0</v>
      </c>
      <c r="J95" s="756">
        <f t="shared" si="3"/>
        <v>0</v>
      </c>
      <c r="K95"/>
      <c r="L95" s="283">
        <f>$C95*'2.) Enrollment'!H65*'4.) Yearly Budget'!$K$17</f>
        <v>0</v>
      </c>
      <c r="M95" s="283">
        <f>$C95*'2.) Enrollment'!J65*'4.) Yearly Budget'!$N$17</f>
        <v>0</v>
      </c>
      <c r="N95" s="283">
        <f>$C95*'2.) Enrollment'!L65*'4.) Yearly Budget'!$Q$17</f>
        <v>0</v>
      </c>
      <c r="O95" s="283">
        <f>$C95*'2.) Enrollment'!N65*'4.) Yearly Budget'!$T$17</f>
        <v>0</v>
      </c>
      <c r="P95" s="756">
        <f t="shared" si="4"/>
        <v>0</v>
      </c>
      <c r="Q95"/>
      <c r="R95">
        <f t="shared" si="5"/>
        <v>0</v>
      </c>
      <c r="T95">
        <f>IF(ISBLANK('2.) Enrollment'!H65)=TRUE,'2.) Enrollment'!G65,'2.) Enrollment'!H65)</f>
        <v>0</v>
      </c>
      <c r="U95">
        <f>IF(ISBLANK('2.) Enrollment'!J65)=TRUE,'2.) Enrollment'!I65,'2.) Enrollment'!J65)</f>
        <v>0</v>
      </c>
      <c r="V95">
        <f>IF(ISBLANK('2.) Enrollment'!L65)=TRUE,'2.) Enrollment'!K65,'2.) Enrollment'!L65)</f>
        <v>0</v>
      </c>
      <c r="W95">
        <f>IF(ISBLANK('2.) Enrollment'!N65)=TRUE,'2.) Enrollment'!M65,'2.) Enrollment'!N65)</f>
        <v>0</v>
      </c>
    </row>
    <row r="96" spans="1:23">
      <c r="A96" s="1">
        <v>45</v>
      </c>
      <c r="B96" s="434" t="str">
        <f>IF(OR('2.) Enrollment'!C66=$B$109,ISBLANK('2.) Enrollment'!C66)),"-",'2.) Enrollment'!C66)</f>
        <v>-</v>
      </c>
      <c r="C96" s="198">
        <f>IF(ISNA(MATCH(School,$M$15:$M$27,0)),1,0)*IFERROR(VLOOKUP($B96,'Funding by District'!$D$6:$F$683,3,FALSE),0)</f>
        <v>0</v>
      </c>
      <c r="D96"/>
      <c r="E96">
        <f t="shared" si="2"/>
        <v>0</v>
      </c>
      <c r="F96" s="283">
        <f>$C96*'2.) Enrollment'!G66*'4.) Yearly Budget'!$J$17</f>
        <v>0</v>
      </c>
      <c r="G96" s="283">
        <f>$C96*'2.) Enrollment'!I66*'4.) Yearly Budget'!$M$17</f>
        <v>0</v>
      </c>
      <c r="H96" s="283">
        <f>$C96*'2.) Enrollment'!K66*'4.) Yearly Budget'!$P$17</f>
        <v>0</v>
      </c>
      <c r="I96" s="283">
        <f>$C96*'2.) Enrollment'!M66*'4.) Yearly Budget'!$S$17</f>
        <v>0</v>
      </c>
      <c r="J96" s="756">
        <f t="shared" si="3"/>
        <v>0</v>
      </c>
      <c r="K96"/>
      <c r="L96" s="283">
        <f>$C96*'2.) Enrollment'!H66*'4.) Yearly Budget'!$K$17</f>
        <v>0</v>
      </c>
      <c r="M96" s="283">
        <f>$C96*'2.) Enrollment'!J66*'4.) Yearly Budget'!$N$17</f>
        <v>0</v>
      </c>
      <c r="N96" s="283">
        <f>$C96*'2.) Enrollment'!L66*'4.) Yearly Budget'!$Q$17</f>
        <v>0</v>
      </c>
      <c r="O96" s="283">
        <f>$C96*'2.) Enrollment'!N66*'4.) Yearly Budget'!$T$17</f>
        <v>0</v>
      </c>
      <c r="P96" s="756">
        <f t="shared" si="4"/>
        <v>0</v>
      </c>
      <c r="Q96"/>
      <c r="R96">
        <f t="shared" si="5"/>
        <v>0</v>
      </c>
      <c r="T96">
        <f>IF(ISBLANK('2.) Enrollment'!H66)=TRUE,'2.) Enrollment'!G66,'2.) Enrollment'!H66)</f>
        <v>0</v>
      </c>
      <c r="U96">
        <f>IF(ISBLANK('2.) Enrollment'!J66)=TRUE,'2.) Enrollment'!I66,'2.) Enrollment'!J66)</f>
        <v>0</v>
      </c>
      <c r="V96">
        <f>IF(ISBLANK('2.) Enrollment'!L66)=TRUE,'2.) Enrollment'!K66,'2.) Enrollment'!L66)</f>
        <v>0</v>
      </c>
      <c r="W96">
        <f>IF(ISBLANK('2.) Enrollment'!N66)=TRUE,'2.) Enrollment'!M66,'2.) Enrollment'!N66)</f>
        <v>0</v>
      </c>
    </row>
    <row r="97" spans="1:34">
      <c r="A97" s="1">
        <v>46</v>
      </c>
      <c r="B97" s="434" t="str">
        <f>IF(OR('2.) Enrollment'!C67=$B$109,ISBLANK('2.) Enrollment'!C67)),"-",'2.) Enrollment'!C67)</f>
        <v>-</v>
      </c>
      <c r="C97" s="198">
        <f>IF(ISNA(MATCH(School,$M$15:$M$27,0)),1,0)*IFERROR(VLOOKUP($B97,'Funding by District'!$D$6:$F$683,3,FALSE),0)</f>
        <v>0</v>
      </c>
      <c r="D97"/>
      <c r="E97">
        <f t="shared" si="2"/>
        <v>0</v>
      </c>
      <c r="F97" s="283">
        <f>$C97*'2.) Enrollment'!G67*'4.) Yearly Budget'!$J$17</f>
        <v>0</v>
      </c>
      <c r="G97" s="283">
        <f>$C97*'2.) Enrollment'!I67*'4.) Yearly Budget'!$M$17</f>
        <v>0</v>
      </c>
      <c r="H97" s="283">
        <f>$C97*'2.) Enrollment'!K67*'4.) Yearly Budget'!$P$17</f>
        <v>0</v>
      </c>
      <c r="I97" s="283">
        <f>$C97*'2.) Enrollment'!M67*'4.) Yearly Budget'!$S$17</f>
        <v>0</v>
      </c>
      <c r="J97" s="756">
        <f t="shared" si="3"/>
        <v>0</v>
      </c>
      <c r="K97"/>
      <c r="L97" s="283">
        <f>$C97*'2.) Enrollment'!H67*'4.) Yearly Budget'!$K$17</f>
        <v>0</v>
      </c>
      <c r="M97" s="283">
        <f>$C97*'2.) Enrollment'!J67*'4.) Yearly Budget'!$N$17</f>
        <v>0</v>
      </c>
      <c r="N97" s="283">
        <f>$C97*'2.) Enrollment'!L67*'4.) Yearly Budget'!$Q$17</f>
        <v>0</v>
      </c>
      <c r="O97" s="283">
        <f>$C97*'2.) Enrollment'!N67*'4.) Yearly Budget'!$T$17</f>
        <v>0</v>
      </c>
      <c r="P97" s="756">
        <f t="shared" si="4"/>
        <v>0</v>
      </c>
      <c r="Q97"/>
      <c r="R97">
        <f t="shared" si="5"/>
        <v>0</v>
      </c>
      <c r="T97">
        <f>IF(ISBLANK('2.) Enrollment'!H67)=TRUE,'2.) Enrollment'!G67,'2.) Enrollment'!H67)</f>
        <v>0</v>
      </c>
      <c r="U97">
        <f>IF(ISBLANK('2.) Enrollment'!J67)=TRUE,'2.) Enrollment'!I67,'2.) Enrollment'!J67)</f>
        <v>0</v>
      </c>
      <c r="V97">
        <f>IF(ISBLANK('2.) Enrollment'!L67)=TRUE,'2.) Enrollment'!K67,'2.) Enrollment'!L67)</f>
        <v>0</v>
      </c>
      <c r="W97">
        <f>IF(ISBLANK('2.) Enrollment'!N67)=TRUE,'2.) Enrollment'!M67,'2.) Enrollment'!N67)</f>
        <v>0</v>
      </c>
    </row>
    <row r="98" spans="1:34">
      <c r="A98" s="1">
        <v>47</v>
      </c>
      <c r="B98" s="434" t="str">
        <f>IF(OR('2.) Enrollment'!C68=$B$109,ISBLANK('2.) Enrollment'!C68)),"-",'2.) Enrollment'!C68)</f>
        <v>-</v>
      </c>
      <c r="C98" s="198">
        <f>IF(ISNA(MATCH(School,$M$15:$M$27,0)),1,0)*IFERROR(VLOOKUP($B98,'Funding by District'!$D$6:$F$683,3,FALSE),0)</f>
        <v>0</v>
      </c>
      <c r="D98"/>
      <c r="E98">
        <f t="shared" si="2"/>
        <v>0</v>
      </c>
      <c r="F98" s="283">
        <f>$C98*'2.) Enrollment'!G68*'4.) Yearly Budget'!$J$17</f>
        <v>0</v>
      </c>
      <c r="G98" s="283">
        <f>$C98*'2.) Enrollment'!I68*'4.) Yearly Budget'!$M$17</f>
        <v>0</v>
      </c>
      <c r="H98" s="283">
        <f>$C98*'2.) Enrollment'!K68*'4.) Yearly Budget'!$P$17</f>
        <v>0</v>
      </c>
      <c r="I98" s="283">
        <f>$C98*'2.) Enrollment'!M68*'4.) Yearly Budget'!$S$17</f>
        <v>0</v>
      </c>
      <c r="J98" s="756">
        <f t="shared" si="3"/>
        <v>0</v>
      </c>
      <c r="K98"/>
      <c r="L98" s="283">
        <f>$C98*'2.) Enrollment'!H68*'4.) Yearly Budget'!$K$17</f>
        <v>0</v>
      </c>
      <c r="M98" s="283">
        <f>$C98*'2.) Enrollment'!J68*'4.) Yearly Budget'!$N$17</f>
        <v>0</v>
      </c>
      <c r="N98" s="283">
        <f>$C98*'2.) Enrollment'!L68*'4.) Yearly Budget'!$Q$17</f>
        <v>0</v>
      </c>
      <c r="O98" s="283">
        <f>$C98*'2.) Enrollment'!N68*'4.) Yearly Budget'!$T$17</f>
        <v>0</v>
      </c>
      <c r="P98" s="756">
        <f t="shared" si="4"/>
        <v>0</v>
      </c>
      <c r="Q98"/>
      <c r="R98">
        <f t="shared" si="5"/>
        <v>0</v>
      </c>
      <c r="T98">
        <f>IF(ISBLANK('2.) Enrollment'!H68)=TRUE,'2.) Enrollment'!G68,'2.) Enrollment'!H68)</f>
        <v>0</v>
      </c>
      <c r="U98">
        <f>IF(ISBLANK('2.) Enrollment'!J68)=TRUE,'2.) Enrollment'!I68,'2.) Enrollment'!J68)</f>
        <v>0</v>
      </c>
      <c r="V98">
        <f>IF(ISBLANK('2.) Enrollment'!L68)=TRUE,'2.) Enrollment'!K68,'2.) Enrollment'!L68)</f>
        <v>0</v>
      </c>
      <c r="W98">
        <f>IF(ISBLANK('2.) Enrollment'!N68)=TRUE,'2.) Enrollment'!M68,'2.) Enrollment'!N68)</f>
        <v>0</v>
      </c>
    </row>
    <row r="99" spans="1:34">
      <c r="A99" s="1">
        <v>48</v>
      </c>
      <c r="B99" s="434" t="str">
        <f>IF(OR('2.) Enrollment'!C69=$B$109,ISBLANK('2.) Enrollment'!C69)),"-",'2.) Enrollment'!C69)</f>
        <v>-</v>
      </c>
      <c r="C99" s="198">
        <f>IF(ISNA(MATCH(School,$M$15:$M$27,0)),1,0)*IFERROR(VLOOKUP($B99,'Funding by District'!$D$6:$F$683,3,FALSE),0)</f>
        <v>0</v>
      </c>
      <c r="D99"/>
      <c r="E99">
        <f t="shared" si="2"/>
        <v>0</v>
      </c>
      <c r="F99" s="283">
        <f>$C99*'2.) Enrollment'!G69*'4.) Yearly Budget'!$J$17</f>
        <v>0</v>
      </c>
      <c r="G99" s="283">
        <f>$C99*'2.) Enrollment'!I69*'4.) Yearly Budget'!$M$17</f>
        <v>0</v>
      </c>
      <c r="H99" s="283">
        <f>$C99*'2.) Enrollment'!K69*'4.) Yearly Budget'!$P$17</f>
        <v>0</v>
      </c>
      <c r="I99" s="283">
        <f>$C99*'2.) Enrollment'!M69*'4.) Yearly Budget'!$S$17</f>
        <v>0</v>
      </c>
      <c r="J99" s="756">
        <f t="shared" si="3"/>
        <v>0</v>
      </c>
      <c r="K99"/>
      <c r="L99" s="283">
        <f>$C99*'2.) Enrollment'!H69*'4.) Yearly Budget'!$K$17</f>
        <v>0</v>
      </c>
      <c r="M99" s="283">
        <f>$C99*'2.) Enrollment'!J69*'4.) Yearly Budget'!$N$17</f>
        <v>0</v>
      </c>
      <c r="N99" s="283">
        <f>$C99*'2.) Enrollment'!L69*'4.) Yearly Budget'!$Q$17</f>
        <v>0</v>
      </c>
      <c r="O99" s="283">
        <f>$C99*'2.) Enrollment'!N69*'4.) Yearly Budget'!$T$17</f>
        <v>0</v>
      </c>
      <c r="P99" s="756">
        <f t="shared" si="4"/>
        <v>0</v>
      </c>
      <c r="Q99"/>
      <c r="R99">
        <f t="shared" si="5"/>
        <v>0</v>
      </c>
      <c r="T99">
        <f>IF(ISBLANK('2.) Enrollment'!H69)=TRUE,'2.) Enrollment'!G69,'2.) Enrollment'!H69)</f>
        <v>0</v>
      </c>
      <c r="U99">
        <f>IF(ISBLANK('2.) Enrollment'!J69)=TRUE,'2.) Enrollment'!I69,'2.) Enrollment'!J69)</f>
        <v>0</v>
      </c>
      <c r="V99">
        <f>IF(ISBLANK('2.) Enrollment'!L69)=TRUE,'2.) Enrollment'!K69,'2.) Enrollment'!L69)</f>
        <v>0</v>
      </c>
      <c r="W99">
        <f>IF(ISBLANK('2.) Enrollment'!N69)=TRUE,'2.) Enrollment'!M69,'2.) Enrollment'!N69)</f>
        <v>0</v>
      </c>
    </row>
    <row r="100" spans="1:34">
      <c r="A100" s="1">
        <v>49</v>
      </c>
      <c r="B100" s="434" t="str">
        <f>IF(OR('2.) Enrollment'!C70=$B$109,ISBLANK('2.) Enrollment'!C70)),"-",'2.) Enrollment'!C70)</f>
        <v>-</v>
      </c>
      <c r="C100" s="198">
        <f>IF(ISNA(MATCH(School,$M$15:$M$27,0)),1,0)*IFERROR(VLOOKUP($B100,'Funding by District'!$D$6:$F$683,3,FALSE),0)</f>
        <v>0</v>
      </c>
      <c r="D100"/>
      <c r="E100">
        <f t="shared" si="2"/>
        <v>0</v>
      </c>
      <c r="F100" s="283">
        <f>$C100*'2.) Enrollment'!G70*'4.) Yearly Budget'!$J$17</f>
        <v>0</v>
      </c>
      <c r="G100" s="283">
        <f>$C100*'2.) Enrollment'!I70*'4.) Yearly Budget'!$M$17</f>
        <v>0</v>
      </c>
      <c r="H100" s="283">
        <f>$C100*'2.) Enrollment'!K70*'4.) Yearly Budget'!$P$17</f>
        <v>0</v>
      </c>
      <c r="I100" s="283">
        <f>$C100*'2.) Enrollment'!M70*'4.) Yearly Budget'!$S$17</f>
        <v>0</v>
      </c>
      <c r="J100" s="756">
        <f t="shared" si="3"/>
        <v>0</v>
      </c>
      <c r="K100"/>
      <c r="L100" s="283">
        <f>$C100*'2.) Enrollment'!H70*'4.) Yearly Budget'!$K$17</f>
        <v>0</v>
      </c>
      <c r="M100" s="283">
        <f>$C100*'2.) Enrollment'!J70*'4.) Yearly Budget'!$N$17</f>
        <v>0</v>
      </c>
      <c r="N100" s="283">
        <f>$C100*'2.) Enrollment'!L70*'4.) Yearly Budget'!$Q$17</f>
        <v>0</v>
      </c>
      <c r="O100" s="283">
        <f>$C100*'2.) Enrollment'!N70*'4.) Yearly Budget'!$T$17</f>
        <v>0</v>
      </c>
      <c r="P100" s="756">
        <f t="shared" si="4"/>
        <v>0</v>
      </c>
      <c r="Q100"/>
      <c r="R100">
        <f t="shared" si="5"/>
        <v>0</v>
      </c>
      <c r="T100">
        <f>IF(ISBLANK('2.) Enrollment'!H70)=TRUE,'2.) Enrollment'!G70,'2.) Enrollment'!H70)</f>
        <v>0</v>
      </c>
      <c r="U100">
        <f>IF(ISBLANK('2.) Enrollment'!J70)=TRUE,'2.) Enrollment'!I70,'2.) Enrollment'!J70)</f>
        <v>0</v>
      </c>
      <c r="V100">
        <f>IF(ISBLANK('2.) Enrollment'!L70)=TRUE,'2.) Enrollment'!K70,'2.) Enrollment'!L70)</f>
        <v>0</v>
      </c>
      <c r="W100">
        <f>IF(ISBLANK('2.) Enrollment'!N70)=TRUE,'2.) Enrollment'!M70,'2.) Enrollment'!N70)</f>
        <v>0</v>
      </c>
    </row>
    <row r="101" spans="1:34" ht="15.75" thickBot="1">
      <c r="A101" s="1">
        <v>50</v>
      </c>
      <c r="B101" s="434" t="str">
        <f>IF(OR('2.) Enrollment'!C71=$B$109,ISBLANK('2.) Enrollment'!C71)),"-",'2.) Enrollment'!C71)</f>
        <v>-</v>
      </c>
      <c r="C101" s="198">
        <f>IF(ISNA(MATCH(School,$M$15:$M$27,0)),1,0)*IFERROR(VLOOKUP($B101,'Funding by District'!$D$6:$F$683,3,FALSE),0)</f>
        <v>0</v>
      </c>
      <c r="D101"/>
      <c r="E101">
        <f t="shared" si="2"/>
        <v>0</v>
      </c>
      <c r="F101" s="283">
        <f>$C101*'2.) Enrollment'!G71*'4.) Yearly Budget'!$J$17</f>
        <v>0</v>
      </c>
      <c r="G101" s="283">
        <f>$C101*'2.) Enrollment'!I71*'4.) Yearly Budget'!$M$17</f>
        <v>0</v>
      </c>
      <c r="H101" s="283">
        <f>$C101*'2.) Enrollment'!K71*'4.) Yearly Budget'!$P$17</f>
        <v>0</v>
      </c>
      <c r="I101" s="283">
        <f>$C101*'2.) Enrollment'!M71*'4.) Yearly Budget'!$S$17</f>
        <v>0</v>
      </c>
      <c r="J101" s="756">
        <f t="shared" si="3"/>
        <v>0</v>
      </c>
      <c r="L101" s="283">
        <f>$C101*'2.) Enrollment'!H71*'4.) Yearly Budget'!$K$17</f>
        <v>0</v>
      </c>
      <c r="M101" s="283">
        <f>$C101*'2.) Enrollment'!J71*'4.) Yearly Budget'!$N$17</f>
        <v>0</v>
      </c>
      <c r="N101" s="283">
        <f>$C101*'2.) Enrollment'!L71*'4.) Yearly Budget'!$Q$17</f>
        <v>0</v>
      </c>
      <c r="O101" s="283">
        <f>$C101*'2.) Enrollment'!N71*'4.) Yearly Budget'!$T$17</f>
        <v>0</v>
      </c>
      <c r="P101" s="756">
        <f t="shared" si="4"/>
        <v>0</v>
      </c>
      <c r="Q101"/>
      <c r="R101">
        <f t="shared" si="5"/>
        <v>0</v>
      </c>
      <c r="T101">
        <f>IF(ISBLANK('2.) Enrollment'!H71)=TRUE,'2.) Enrollment'!G71,'2.) Enrollment'!H71)</f>
        <v>0</v>
      </c>
      <c r="U101">
        <f>IF(ISBLANK('2.) Enrollment'!J71)=TRUE,'2.) Enrollment'!I71,'2.) Enrollment'!J71)</f>
        <v>0</v>
      </c>
      <c r="V101">
        <f>IF(ISBLANK('2.) Enrollment'!L71)=TRUE,'2.) Enrollment'!K71,'2.) Enrollment'!L71)</f>
        <v>0</v>
      </c>
      <c r="W101">
        <f>IF(ISBLANK('2.) Enrollment'!N71)=TRUE,'2.) Enrollment'!M71,'2.) Enrollment'!N71)</f>
        <v>0</v>
      </c>
    </row>
    <row r="102" spans="1:34" s="33" customFormat="1">
      <c r="B102" s="35" t="s">
        <v>292</v>
      </c>
      <c r="C102" s="34">
        <f>SUM(C67:C101)</f>
        <v>0</v>
      </c>
      <c r="D102"/>
      <c r="E102"/>
      <c r="F102"/>
      <c r="G102"/>
      <c r="H102" s="290" t="s">
        <v>297</v>
      </c>
      <c r="I102" s="291" t="s">
        <v>142</v>
      </c>
      <c r="J102" s="292" t="s">
        <v>300</v>
      </c>
      <c r="K102" s="1046" t="s">
        <v>298</v>
      </c>
      <c r="L102"/>
      <c r="M102"/>
      <c r="N102" s="283"/>
      <c r="O102" s="283"/>
      <c r="P102"/>
      <c r="Q102"/>
      <c r="R102"/>
      <c r="S102"/>
      <c r="T102"/>
      <c r="U102"/>
      <c r="V102"/>
      <c r="W102"/>
      <c r="X102"/>
      <c r="Y102"/>
      <c r="Z102"/>
      <c r="AA102"/>
      <c r="AB102"/>
      <c r="AC102"/>
      <c r="AD102"/>
      <c r="AE102"/>
      <c r="AF102"/>
      <c r="AG102"/>
      <c r="AH102"/>
    </row>
    <row r="103" spans="1:34" s="33" customFormat="1">
      <c r="B103" s="35" t="s">
        <v>148</v>
      </c>
      <c r="C103" s="285">
        <f>IFERROR(SUMPRODUCT(C52:C101,L52:L101)/SUM(L52:L101),0)</f>
        <v>0</v>
      </c>
      <c r="D103"/>
      <c r="E103" s="300"/>
      <c r="F103"/>
      <c r="G103" s="284" t="s">
        <v>194</v>
      </c>
      <c r="H103" s="293">
        <f>IF('4.) Yearly Budget'!K18&lt;&gt;0,'4.) Yearly Budget'!K33,'4.) Yearly Budget'!J33)</f>
        <v>0</v>
      </c>
      <c r="I103" s="294">
        <f>IF('4.) Yearly Budget'!K163&lt;&gt;0,'4.) Yearly Budget'!K178,'4.) Yearly Budget'!J178)</f>
        <v>0</v>
      </c>
      <c r="J103" s="301" t="b">
        <f>OR(AND(H103&lt;&gt;0,I103&lt;&gt;0),AND(H103=0,I103=0))</f>
        <v>1</v>
      </c>
      <c r="K103" s="1047"/>
      <c r="L103"/>
      <c r="M103"/>
      <c r="N103" s="283"/>
      <c r="O103" s="283"/>
      <c r="P103"/>
      <c r="Q103"/>
      <c r="R103">
        <f>SUM(R52:R102)</f>
        <v>0</v>
      </c>
      <c r="S103"/>
      <c r="T103"/>
      <c r="U103"/>
      <c r="V103"/>
      <c r="W103"/>
      <c r="X103"/>
      <c r="Y103"/>
      <c r="Z103"/>
      <c r="AA103"/>
      <c r="AB103"/>
      <c r="AC103"/>
      <c r="AD103"/>
      <c r="AE103"/>
      <c r="AF103"/>
      <c r="AG103"/>
      <c r="AH103"/>
    </row>
    <row r="104" spans="1:34">
      <c r="B104" s="14" t="s">
        <v>293</v>
      </c>
      <c r="C104" s="286">
        <f>COUNTIF(E67:E101,"&lt;&gt;0")</f>
        <v>0</v>
      </c>
      <c r="D104"/>
      <c r="E104" s="14" t="s">
        <v>295</v>
      </c>
      <c r="F104" s="287"/>
      <c r="G104" s="284" t="s">
        <v>195</v>
      </c>
      <c r="H104" s="293">
        <f>IF('4.) Yearly Budget'!N18&lt;&gt;0,'4.) Yearly Budget'!N33,'4.) Yearly Budget'!M33)</f>
        <v>0</v>
      </c>
      <c r="I104" s="294">
        <f>IF('4.) Yearly Budget'!N163&lt;&gt;0,'4.) Yearly Budget'!N178,'4.) Yearly Budget'!M178)</f>
        <v>0</v>
      </c>
      <c r="J104" s="301" t="b">
        <f>OR(AND(H104&lt;&gt;0,I104&lt;&gt;0),AND(H104=0,I104=0))</f>
        <v>1</v>
      </c>
      <c r="K104" s="1047"/>
      <c r="L104"/>
      <c r="M104"/>
      <c r="N104" s="283"/>
      <c r="O104" s="283"/>
      <c r="P104"/>
      <c r="Q104"/>
    </row>
    <row r="105" spans="1:34">
      <c r="B105" s="14" t="s">
        <v>294</v>
      </c>
      <c r="C105" s="286">
        <f>SUM(IF('4.) Yearly Budget'!K$179&lt;&gt;0,'4.) Yearly Budget'!K178,'4.) Yearly Budget'!J178)+IF('4.) Yearly Budget'!N$179&lt;&gt;0,'4.) Yearly Budget'!N178,'4.) Yearly Budget'!M178)+IF('4.) Yearly Budget'!Q$179&lt;&gt;0,'4.) Yearly Budget'!Q178,'4.) Yearly Budget'!P178)+IF('4.) Yearly Budget'!T$179&lt;&gt;0,'4.) Yearly Budget'!T178,'4.) Yearly Budget'!S178))/4</f>
        <v>0</v>
      </c>
      <c r="E105" s="18" t="s">
        <v>296</v>
      </c>
      <c r="F105" s="288">
        <f>IFERROR(SUMPRODUCT(C67:C101,E67:E101)/SUM(E67:E101),0)</f>
        <v>0</v>
      </c>
      <c r="G105" s="284" t="s">
        <v>196</v>
      </c>
      <c r="H105" s="293">
        <f>IF('4.) Yearly Budget'!Q18&lt;&gt;0,'4.) Yearly Budget'!Q33,'4.) Yearly Budget'!P33)</f>
        <v>0</v>
      </c>
      <c r="I105" s="294">
        <f>IF('4.) Yearly Budget'!Q163&lt;&gt;0,'4.) Yearly Budget'!Q178,'4.) Yearly Budget'!P178)</f>
        <v>0</v>
      </c>
      <c r="J105" s="301" t="b">
        <f>OR(AND(H105&lt;&gt;0,I105&lt;&gt;0),AND(H105=0,I105=0))</f>
        <v>1</v>
      </c>
      <c r="K105" s="1047"/>
      <c r="L105"/>
      <c r="M105"/>
      <c r="N105" s="283"/>
      <c r="O105" s="283"/>
      <c r="P105"/>
      <c r="Q105"/>
    </row>
    <row r="106" spans="1:34">
      <c r="E106" s="574"/>
      <c r="F106" s="288">
        <f>IFERROR(SUMPRODUCT(C52:C101,E52:E101)/SUM(E52:E101),0)</f>
        <v>0</v>
      </c>
      <c r="G106" s="284" t="s">
        <v>197</v>
      </c>
      <c r="H106" s="295">
        <f>IF('4.) Yearly Budget'!T18&lt;&gt;0,'4.) Yearly Budget'!T33,'4.) Yearly Budget'!S33)</f>
        <v>0</v>
      </c>
      <c r="I106" s="296">
        <f>IF('4.) Yearly Budget'!T163&lt;&gt;0,'4.) Yearly Budget'!T178,'4.) Yearly Budget'!S178)</f>
        <v>0</v>
      </c>
      <c r="J106" s="301" t="b">
        <f>OR(AND(H106&lt;&gt;0,I106&lt;&gt;0),AND(H106=0,I106=0))</f>
        <v>1</v>
      </c>
      <c r="K106" s="1047"/>
      <c r="L106"/>
      <c r="M106"/>
      <c r="N106" s="283"/>
      <c r="O106" s="283"/>
      <c r="P106"/>
      <c r="Q106"/>
    </row>
    <row r="107" spans="1:34" ht="15.75" thickBot="1">
      <c r="A107" s="29" t="s">
        <v>170</v>
      </c>
      <c r="G107" s="289" t="s">
        <v>299</v>
      </c>
      <c r="H107" s="297">
        <f>SUM(H103:H106)</f>
        <v>0</v>
      </c>
      <c r="I107" s="298">
        <f>SUM(I103:I106)/4</f>
        <v>0</v>
      </c>
      <c r="J107" s="299">
        <f>COUNTIF(J103:J106,"TRUE")</f>
        <v>4</v>
      </c>
      <c r="K107" s="1048"/>
      <c r="L107"/>
      <c r="N107" s="283"/>
      <c r="O107" s="283"/>
      <c r="P107"/>
      <c r="Q107"/>
    </row>
    <row r="108" spans="1:34" ht="15.75" thickBot="1">
      <c r="A108" s="29"/>
      <c r="B108" s="172" t="s">
        <v>168</v>
      </c>
      <c r="C108" s="174" t="s">
        <v>169</v>
      </c>
      <c r="F108" s="191" t="s">
        <v>173</v>
      </c>
      <c r="G108" s="192"/>
      <c r="H108" s="192"/>
      <c r="I108" s="192"/>
      <c r="J108" s="193"/>
      <c r="N108" s="283"/>
      <c r="O108" s="283"/>
    </row>
    <row r="109" spans="1:34">
      <c r="B109" s="181" t="s">
        <v>491</v>
      </c>
      <c r="C109" s="182"/>
      <c r="D109" s="1" t="s">
        <v>174</v>
      </c>
      <c r="F109" s="177" t="s">
        <v>171</v>
      </c>
      <c r="G109" s="39"/>
      <c r="H109" s="39"/>
      <c r="J109" s="156"/>
      <c r="N109" s="283"/>
      <c r="O109" s="283"/>
    </row>
    <row r="110" spans="1:34" ht="15.75" thickBot="1">
      <c r="B110" s="173" t="str">
        <f t="array" ref="B110:B789" ca="1">IF(ROW('Funding by District'!$D$6:$D$683)-ROW($D$6)+1&gt;COUNT(C110:C789),"",
    INDEX('Funding by District'!$D:$D,SMALL(C110:C789,ROW(INDIRECT("1:"&amp;ROWS('Funding by District'!$D$6:$D$683))))))</f>
        <v>Abraham Wing School</v>
      </c>
      <c r="C110" s="175">
        <f>IF(COUNTIF(CONTROL!$B$52:$B$101,'Funding by District'!D6)&gt;=1,"",ROW()-104)</f>
        <v>6</v>
      </c>
      <c r="D110" s="1" t="s">
        <v>176</v>
      </c>
      <c r="F110" s="178" t="s">
        <v>172</v>
      </c>
      <c r="G110" s="179"/>
      <c r="H110" s="179"/>
      <c r="I110" s="171"/>
      <c r="J110" s="180"/>
      <c r="N110" s="283"/>
      <c r="O110" s="283"/>
    </row>
    <row r="111" spans="1:34">
      <c r="B111" s="173" t="str">
        <f ca="1"/>
        <v>Addison Central School District</v>
      </c>
      <c r="C111" s="175">
        <f>IF(COUNTIF(CONTROL!$B$52:$B$101,'Funding by District'!D7)&gt;=1,"",ROW()-104)</f>
        <v>7</v>
      </c>
      <c r="D111" s="1" t="s">
        <v>175</v>
      </c>
      <c r="F111" s="183" t="s">
        <v>177</v>
      </c>
      <c r="G111" s="184"/>
      <c r="H111" s="176"/>
      <c r="I111" s="176"/>
      <c r="J111" s="185"/>
      <c r="N111" s="283"/>
      <c r="O111" s="283"/>
    </row>
    <row r="112" spans="1:34">
      <c r="B112" s="173" t="str">
        <f ca="1"/>
        <v>Adirondack Central School District</v>
      </c>
      <c r="C112" s="175">
        <f>IF(COUNTIF(CONTROL!$B$52:$B$101,'Funding by District'!D8)&gt;=1,"",ROW()-104)</f>
        <v>8</v>
      </c>
      <c r="D112" s="1" t="s">
        <v>178</v>
      </c>
      <c r="F112" s="186" t="s">
        <v>179</v>
      </c>
      <c r="G112" s="39"/>
      <c r="J112" s="187"/>
      <c r="N112" s="283"/>
      <c r="O112" s="283"/>
    </row>
    <row r="113" spans="2:15">
      <c r="B113" s="173" t="str">
        <f ca="1"/>
        <v>Afton Central School District</v>
      </c>
      <c r="C113" s="175">
        <f>IF(COUNTIF(CONTROL!$B$52:$B$101,'Funding by District'!D9)&gt;=1,"",ROW()-104)</f>
        <v>9</v>
      </c>
      <c r="F113" s="186" t="s">
        <v>181</v>
      </c>
      <c r="G113" s="39"/>
      <c r="J113" s="187"/>
      <c r="N113" s="283"/>
      <c r="O113" s="283"/>
    </row>
    <row r="114" spans="2:15" ht="17.25">
      <c r="B114" s="173" t="str">
        <f ca="1"/>
        <v>Akron Central School District</v>
      </c>
      <c r="C114" s="175">
        <f>IF(COUNTIF(CONTROL!$B$52:$B$101,'Funding by District'!D10)&gt;=1,"",ROW()-104)</f>
        <v>10</v>
      </c>
      <c r="F114" s="186" t="s">
        <v>182</v>
      </c>
      <c r="G114" s="39"/>
      <c r="J114" s="187"/>
      <c r="K114" s="190"/>
      <c r="N114" s="283"/>
      <c r="O114" s="283"/>
    </row>
    <row r="115" spans="2:15">
      <c r="B115" s="173" t="str">
        <f ca="1"/>
        <v>Albany City School District</v>
      </c>
      <c r="C115" s="175">
        <f>IF(COUNTIF(CONTROL!$B$52:$B$101,'Funding by District'!D11)&gt;=1,"",ROW()-104)</f>
        <v>11</v>
      </c>
      <c r="F115" s="186" t="s">
        <v>180</v>
      </c>
      <c r="G115" s="39"/>
      <c r="J115" s="187"/>
      <c r="K115" s="155"/>
      <c r="N115" s="283"/>
      <c r="O115" s="283"/>
    </row>
    <row r="116" spans="2:15" ht="15.75" thickBot="1">
      <c r="B116" s="173" t="str">
        <f ca="1"/>
        <v>Albion Central School District</v>
      </c>
      <c r="C116" s="175">
        <f>IF(COUNTIF(CONTROL!$B$52:$B$101,'Funding by District'!D12)&gt;=1,"",ROW()-104)</f>
        <v>12</v>
      </c>
      <c r="D116" s="1" t="s">
        <v>178</v>
      </c>
      <c r="F116" s="188" t="s">
        <v>185</v>
      </c>
      <c r="G116" s="197" t="s">
        <v>184</v>
      </c>
      <c r="H116" s="171"/>
      <c r="I116" s="171"/>
      <c r="J116" s="189"/>
      <c r="K116" s="155"/>
      <c r="N116" s="283"/>
      <c r="O116" s="283"/>
    </row>
    <row r="117" spans="2:15">
      <c r="B117" s="173" t="str">
        <f ca="1"/>
        <v>Alden Central School District</v>
      </c>
      <c r="C117" s="175">
        <f>IF(COUNTIF(CONTROL!$B$52:$B$101,'Funding by District'!D13)&gt;=1,"",ROW()-104)</f>
        <v>13</v>
      </c>
      <c r="F117" s="39"/>
      <c r="G117" s="39"/>
      <c r="N117" s="283"/>
      <c r="O117" s="283"/>
    </row>
    <row r="118" spans="2:15">
      <c r="B118" s="173" t="str">
        <f ca="1"/>
        <v>Alexander Central School District</v>
      </c>
      <c r="C118" s="175">
        <f>IF(COUNTIF(CONTROL!$B$52:$B$101,'Funding by District'!D14)&gt;=1,"",ROW()-104)</f>
        <v>14</v>
      </c>
      <c r="F118" s="39"/>
      <c r="G118" s="39"/>
      <c r="N118" s="283"/>
      <c r="O118" s="283"/>
    </row>
    <row r="119" spans="2:15">
      <c r="B119" s="173" t="str">
        <f ca="1"/>
        <v>Alexandria Central School District</v>
      </c>
      <c r="C119" s="175">
        <f>IF(COUNTIF(CONTROL!$B$52:$B$101,'Funding by District'!D15)&gt;=1,"",ROW()-104)</f>
        <v>15</v>
      </c>
      <c r="F119" s="39"/>
      <c r="G119" s="39"/>
      <c r="N119" s="283"/>
      <c r="O119" s="283"/>
    </row>
    <row r="120" spans="2:15">
      <c r="B120" s="173" t="str">
        <f ca="1"/>
        <v>Alfred-Almond Central School District</v>
      </c>
      <c r="C120" s="175">
        <f>IF(COUNTIF(CONTROL!$B$52:$B$101,'Funding by District'!D16)&gt;=1,"",ROW()-104)</f>
        <v>16</v>
      </c>
      <c r="F120" s="39"/>
      <c r="G120" s="39"/>
      <c r="N120" s="283"/>
      <c r="O120" s="283"/>
    </row>
    <row r="121" spans="2:15">
      <c r="B121" s="173" t="str">
        <f ca="1"/>
        <v>Allegany-Limestone Central School District</v>
      </c>
      <c r="C121" s="175">
        <f>IF(COUNTIF(CONTROL!$B$52:$B$101,'Funding by District'!D17)&gt;=1,"",ROW()-104)</f>
        <v>17</v>
      </c>
      <c r="F121" s="39"/>
      <c r="G121" s="39"/>
      <c r="N121" s="283"/>
      <c r="O121" s="283"/>
    </row>
    <row r="122" spans="2:15">
      <c r="B122" s="173" t="str">
        <f ca="1"/>
        <v>Altmar-Parish-Williamstown Central School District</v>
      </c>
      <c r="C122" s="175">
        <f>IF(COUNTIF(CONTROL!$B$52:$B$101,'Funding by District'!D18)&gt;=1,"",ROW()-104)</f>
        <v>18</v>
      </c>
      <c r="F122" s="39"/>
      <c r="G122" s="39"/>
      <c r="N122" s="283"/>
      <c r="O122" s="283"/>
    </row>
    <row r="123" spans="2:15">
      <c r="B123" s="173" t="str">
        <f ca="1"/>
        <v>Amagansett Union Free School District</v>
      </c>
      <c r="C123" s="175">
        <f>IF(COUNTIF(CONTROL!$B$52:$B$101,'Funding by District'!D19)&gt;=1,"",ROW()-104)</f>
        <v>19</v>
      </c>
      <c r="F123" s="39"/>
      <c r="G123" s="39"/>
      <c r="N123" s="283"/>
      <c r="O123" s="283"/>
    </row>
    <row r="124" spans="2:15">
      <c r="B124" s="173" t="str">
        <f ca="1"/>
        <v>Amherst Central School District</v>
      </c>
      <c r="C124" s="175">
        <f>IF(COUNTIF(CONTROL!$B$52:$B$101,'Funding by District'!D20)&gt;=1,"",ROW()-104)</f>
        <v>20</v>
      </c>
      <c r="F124" s="39"/>
      <c r="G124" s="39"/>
      <c r="N124" s="283"/>
      <c r="O124" s="283"/>
    </row>
    <row r="125" spans="2:15">
      <c r="B125" s="173" t="str">
        <f ca="1"/>
        <v>Amityville Union Free School District</v>
      </c>
      <c r="C125" s="175">
        <f>IF(COUNTIF(CONTROL!$B$52:$B$101,'Funding by District'!D21)&gt;=1,"",ROW()-104)</f>
        <v>21</v>
      </c>
      <c r="F125" s="39"/>
      <c r="G125" s="39"/>
      <c r="N125" s="283"/>
      <c r="O125" s="283"/>
    </row>
    <row r="126" spans="2:15">
      <c r="B126" s="173" t="str">
        <f ca="1"/>
        <v>Amsterdam City School District</v>
      </c>
      <c r="C126" s="175">
        <f>IF(COUNTIF(CONTROL!$B$52:$B$101,'Funding by District'!D22)&gt;=1,"",ROW()-104)</f>
        <v>22</v>
      </c>
      <c r="F126" s="39"/>
      <c r="G126" s="39"/>
      <c r="N126" s="283"/>
      <c r="O126" s="283"/>
    </row>
    <row r="127" spans="2:15">
      <c r="B127" s="173" t="str">
        <f ca="1"/>
        <v>Andes Central School District</v>
      </c>
      <c r="C127" s="175">
        <f>IF(COUNTIF(CONTROL!$B$52:$B$101,'Funding by District'!D23)&gt;=1,"",ROW()-104)</f>
        <v>23</v>
      </c>
      <c r="F127" s="39"/>
      <c r="G127" s="39"/>
      <c r="N127" s="283"/>
      <c r="O127" s="283"/>
    </row>
    <row r="128" spans="2:15">
      <c r="B128" s="173" t="str">
        <f ca="1"/>
        <v>Andover Central School District</v>
      </c>
      <c r="C128" s="175">
        <f>IF(COUNTIF(CONTROL!$B$52:$B$101,'Funding by District'!D24)&gt;=1,"",ROW()-104)</f>
        <v>24</v>
      </c>
      <c r="F128" s="39"/>
      <c r="G128" s="39"/>
      <c r="N128" s="283"/>
      <c r="O128" s="283"/>
    </row>
    <row r="129" spans="2:15">
      <c r="B129" s="173" t="str">
        <f ca="1"/>
        <v>Ardsley Union Free School District</v>
      </c>
      <c r="C129" s="175">
        <f>IF(COUNTIF(CONTROL!$B$52:$B$101,'Funding by District'!D25)&gt;=1,"",ROW()-104)</f>
        <v>25</v>
      </c>
      <c r="F129" s="39"/>
      <c r="G129" s="39"/>
      <c r="N129" s="283"/>
      <c r="O129" s="283"/>
    </row>
    <row r="130" spans="2:15">
      <c r="B130" s="173" t="str">
        <f ca="1"/>
        <v>Argyle Central School District</v>
      </c>
      <c r="C130" s="175">
        <f>IF(COUNTIF(CONTROL!$B$52:$B$101,'Funding by District'!D26)&gt;=1,"",ROW()-104)</f>
        <v>26</v>
      </c>
      <c r="F130" s="39"/>
      <c r="G130" s="39"/>
      <c r="N130" s="283"/>
      <c r="O130" s="283"/>
    </row>
    <row r="131" spans="2:15">
      <c r="B131" s="173" t="str">
        <f ca="1"/>
        <v>Arkport Central School District</v>
      </c>
      <c r="C131" s="175">
        <f>IF(COUNTIF(CONTROL!$B$52:$B$101,'Funding by District'!D27)&gt;=1,"",ROW()-104)</f>
        <v>27</v>
      </c>
      <c r="F131" s="39"/>
      <c r="G131" s="39"/>
      <c r="N131" s="283"/>
      <c r="O131" s="283"/>
    </row>
    <row r="132" spans="2:15">
      <c r="B132" s="173" t="str">
        <f ca="1"/>
        <v>Arlington Central School District</v>
      </c>
      <c r="C132" s="175">
        <f>IF(COUNTIF(CONTROL!$B$52:$B$101,'Funding by District'!D28)&gt;=1,"",ROW()-104)</f>
        <v>28</v>
      </c>
      <c r="F132" s="39"/>
      <c r="G132" s="39"/>
      <c r="N132" s="283"/>
      <c r="O132" s="283"/>
    </row>
    <row r="133" spans="2:15">
      <c r="B133" s="173" t="str">
        <f ca="1"/>
        <v>Attica Central School District</v>
      </c>
      <c r="C133" s="175">
        <f>IF(COUNTIF(CONTROL!$B$52:$B$101,'Funding by District'!D29)&gt;=1,"",ROW()-104)</f>
        <v>29</v>
      </c>
      <c r="F133" s="39"/>
      <c r="G133" s="39"/>
      <c r="N133" s="283"/>
      <c r="O133" s="283"/>
    </row>
    <row r="134" spans="2:15">
      <c r="B134" s="173" t="str">
        <f ca="1"/>
        <v>Auburn Enlarged City School District</v>
      </c>
      <c r="C134" s="175">
        <f>IF(COUNTIF(CONTROL!$B$52:$B$101,'Funding by District'!D30)&gt;=1,"",ROW()-104)</f>
        <v>30</v>
      </c>
      <c r="F134" s="39"/>
      <c r="G134" s="39"/>
      <c r="N134" s="283"/>
      <c r="O134" s="283"/>
    </row>
    <row r="135" spans="2:15">
      <c r="B135" s="173" t="str">
        <f ca="1"/>
        <v>AuSable Valley Central School District</v>
      </c>
      <c r="C135" s="175">
        <f>IF(COUNTIF(CONTROL!$B$52:$B$101,'Funding by District'!D31)&gt;=1,"",ROW()-104)</f>
        <v>31</v>
      </c>
      <c r="F135" s="39"/>
      <c r="G135" s="39"/>
      <c r="N135" s="283"/>
      <c r="O135" s="283"/>
    </row>
    <row r="136" spans="2:15">
      <c r="B136" s="173" t="str">
        <f ca="1"/>
        <v>Averill Park Central School District</v>
      </c>
      <c r="C136" s="175">
        <f>IF(COUNTIF(CONTROL!$B$52:$B$101,'Funding by District'!D32)&gt;=1,"",ROW()-104)</f>
        <v>32</v>
      </c>
      <c r="F136" s="39"/>
      <c r="G136" s="39"/>
      <c r="N136" s="283"/>
      <c r="O136" s="283"/>
    </row>
    <row r="137" spans="2:15">
      <c r="B137" s="173" t="str">
        <f ca="1"/>
        <v>Avoca Central School District</v>
      </c>
      <c r="C137" s="175">
        <f>IF(COUNTIF(CONTROL!$B$52:$B$101,'Funding by District'!D33)&gt;=1,"",ROW()-104)</f>
        <v>33</v>
      </c>
      <c r="F137" s="39"/>
      <c r="G137" s="39"/>
      <c r="N137" s="283"/>
      <c r="O137" s="283"/>
    </row>
    <row r="138" spans="2:15">
      <c r="B138" s="173" t="str">
        <f ca="1"/>
        <v>Avon Central School District</v>
      </c>
      <c r="C138" s="175">
        <f>IF(COUNTIF(CONTROL!$B$52:$B$101,'Funding by District'!D34)&gt;=1,"",ROW()-104)</f>
        <v>34</v>
      </c>
      <c r="F138" s="39"/>
      <c r="G138" s="39"/>
      <c r="N138" s="283"/>
      <c r="O138" s="283"/>
    </row>
    <row r="139" spans="2:15">
      <c r="B139" s="173" t="str">
        <f ca="1"/>
        <v>Babylon Union Free School District</v>
      </c>
      <c r="C139" s="175">
        <f>IF(COUNTIF(CONTROL!$B$52:$B$101,'Funding by District'!D35)&gt;=1,"",ROW()-104)</f>
        <v>35</v>
      </c>
      <c r="F139" s="39"/>
      <c r="G139" s="39"/>
      <c r="N139" s="283"/>
      <c r="O139" s="283"/>
    </row>
    <row r="140" spans="2:15">
      <c r="B140" s="173" t="str">
        <f ca="1"/>
        <v>Bainbridge-Guilford Central School District</v>
      </c>
      <c r="C140" s="175">
        <f>IF(COUNTIF(CONTROL!$B$52:$B$101,'Funding by District'!D36)&gt;=1,"",ROW()-104)</f>
        <v>36</v>
      </c>
      <c r="F140" s="39"/>
      <c r="G140" s="39"/>
      <c r="N140" s="283"/>
      <c r="O140" s="283"/>
    </row>
    <row r="141" spans="2:15">
      <c r="B141" s="173" t="str">
        <f ca="1"/>
        <v>Baldwin Union Free School District</v>
      </c>
      <c r="C141" s="175">
        <f>IF(COUNTIF(CONTROL!$B$52:$B$101,'Funding by District'!D37)&gt;=1,"",ROW()-104)</f>
        <v>37</v>
      </c>
      <c r="F141" s="39"/>
      <c r="G141" s="39"/>
      <c r="N141" s="283"/>
      <c r="O141" s="283"/>
    </row>
    <row r="142" spans="2:15">
      <c r="B142" s="173" t="str">
        <f ca="1"/>
        <v>Baldwinsville Central School District</v>
      </c>
      <c r="C142" s="175">
        <f>IF(COUNTIF(CONTROL!$B$52:$B$101,'Funding by District'!D38)&gt;=1,"",ROW()-104)</f>
        <v>38</v>
      </c>
      <c r="F142" s="39"/>
      <c r="G142" s="39"/>
      <c r="N142" s="283"/>
      <c r="O142" s="283"/>
    </row>
    <row r="143" spans="2:15">
      <c r="B143" s="173" t="str">
        <f ca="1"/>
        <v>Ballston Spa Central School District</v>
      </c>
      <c r="C143" s="175">
        <f>IF(COUNTIF(CONTROL!$B$52:$B$101,'Funding by District'!D39)&gt;=1,"",ROW()-104)</f>
        <v>39</v>
      </c>
      <c r="F143" s="39"/>
      <c r="G143" s="39"/>
      <c r="N143" s="283"/>
      <c r="O143" s="283"/>
    </row>
    <row r="144" spans="2:15">
      <c r="B144" s="173" t="str">
        <f ca="1"/>
        <v>Barker Central School District</v>
      </c>
      <c r="C144" s="175">
        <f>IF(COUNTIF(CONTROL!$B$52:$B$101,'Funding by District'!D40)&gt;=1,"",ROW()-104)</f>
        <v>40</v>
      </c>
      <c r="F144" s="39"/>
      <c r="G144" s="39"/>
      <c r="N144" s="283"/>
      <c r="O144" s="283"/>
    </row>
    <row r="145" spans="2:15">
      <c r="B145" s="173" t="str">
        <f ca="1"/>
        <v>Batavia City School District</v>
      </c>
      <c r="C145" s="175">
        <f>IF(COUNTIF(CONTROL!$B$52:$B$101,'Funding by District'!D41)&gt;=1,"",ROW()-104)</f>
        <v>41</v>
      </c>
      <c r="F145" s="39"/>
      <c r="G145" s="39"/>
      <c r="N145" s="283"/>
      <c r="O145" s="283"/>
    </row>
    <row r="146" spans="2:15">
      <c r="B146" s="173" t="str">
        <f ca="1"/>
        <v>Bath Central School District</v>
      </c>
      <c r="C146" s="175">
        <f>IF(COUNTIF(CONTROL!$B$52:$B$101,'Funding by District'!D42)&gt;=1,"",ROW()-104)</f>
        <v>42</v>
      </c>
      <c r="F146" s="39"/>
      <c r="G146" s="39"/>
      <c r="N146" s="283"/>
      <c r="O146" s="283"/>
    </row>
    <row r="147" spans="2:15">
      <c r="B147" s="173" t="str">
        <f ca="1"/>
        <v>Bay Shore Union Free School District</v>
      </c>
      <c r="C147" s="175">
        <f>IF(COUNTIF(CONTROL!$B$52:$B$101,'Funding by District'!D43)&gt;=1,"",ROW()-104)</f>
        <v>43</v>
      </c>
      <c r="F147" s="39"/>
      <c r="G147" s="39"/>
      <c r="N147" s="283"/>
      <c r="O147" s="283"/>
    </row>
    <row r="148" spans="2:15">
      <c r="B148" s="173" t="str">
        <f ca="1"/>
        <v>Bayport-Blue Point Union Free School District</v>
      </c>
      <c r="C148" s="175">
        <f>IF(COUNTIF(CONTROL!$B$52:$B$101,'Funding by District'!D44)&gt;=1,"",ROW()-104)</f>
        <v>44</v>
      </c>
      <c r="F148" s="39"/>
      <c r="G148" s="39"/>
      <c r="N148" s="283"/>
      <c r="O148" s="283"/>
    </row>
    <row r="149" spans="2:15">
      <c r="B149" s="173" t="str">
        <f ca="1"/>
        <v>Beacon City School District</v>
      </c>
      <c r="C149" s="175">
        <f>IF(COUNTIF(CONTROL!$B$52:$B$101,'Funding by District'!D45)&gt;=1,"",ROW()-104)</f>
        <v>45</v>
      </c>
      <c r="F149" s="39"/>
      <c r="G149" s="39"/>
      <c r="N149" s="283"/>
      <c r="O149" s="283"/>
    </row>
    <row r="150" spans="2:15">
      <c r="B150" s="173" t="str">
        <f ca="1"/>
        <v>Beaver River Central School District</v>
      </c>
      <c r="C150" s="175">
        <f>IF(COUNTIF(CONTROL!$B$52:$B$101,'Funding by District'!D46)&gt;=1,"",ROW()-104)</f>
        <v>46</v>
      </c>
      <c r="F150" s="39"/>
      <c r="G150" s="39"/>
      <c r="N150" s="283"/>
      <c r="O150" s="283"/>
    </row>
    <row r="151" spans="2:15">
      <c r="B151" s="173" t="str">
        <f ca="1"/>
        <v>Bedford Central School District</v>
      </c>
      <c r="C151" s="175">
        <f>IF(COUNTIF(CONTROL!$B$52:$B$101,'Funding by District'!D47)&gt;=1,"",ROW()-104)</f>
        <v>47</v>
      </c>
      <c r="F151" s="39"/>
      <c r="G151" s="39"/>
      <c r="N151" s="283"/>
      <c r="O151" s="283"/>
    </row>
    <row r="152" spans="2:15">
      <c r="B152" s="173" t="str">
        <f ca="1"/>
        <v>Beekmantown Central School District</v>
      </c>
      <c r="C152" s="175">
        <f>IF(COUNTIF(CONTROL!$B$52:$B$101,'Funding by District'!D48)&gt;=1,"",ROW()-104)</f>
        <v>48</v>
      </c>
      <c r="F152" s="39"/>
      <c r="G152" s="39"/>
      <c r="N152" s="283"/>
      <c r="O152" s="283"/>
    </row>
    <row r="153" spans="2:15">
      <c r="B153" s="173" t="str">
        <f ca="1"/>
        <v>Belfast Central School District</v>
      </c>
      <c r="C153" s="175">
        <f>IF(COUNTIF(CONTROL!$B$52:$B$101,'Funding by District'!D49)&gt;=1,"",ROW()-104)</f>
        <v>49</v>
      </c>
      <c r="F153" s="39"/>
      <c r="G153" s="39"/>
      <c r="N153" s="283"/>
      <c r="O153" s="283"/>
    </row>
    <row r="154" spans="2:15">
      <c r="B154" s="173" t="str">
        <f ca="1"/>
        <v>Belleville Henderson Central School District</v>
      </c>
      <c r="C154" s="175">
        <f>IF(COUNTIF(CONTROL!$B$52:$B$101,'Funding by District'!D50)&gt;=1,"",ROW()-104)</f>
        <v>50</v>
      </c>
      <c r="F154" s="39"/>
      <c r="G154" s="39"/>
      <c r="N154" s="283"/>
      <c r="O154" s="283"/>
    </row>
    <row r="155" spans="2:15">
      <c r="B155" s="173" t="str">
        <f ca="1"/>
        <v>Bellmore Union Free School District</v>
      </c>
      <c r="C155" s="175">
        <f>IF(COUNTIF(CONTROL!$B$52:$B$101,'Funding by District'!D51)&gt;=1,"",ROW()-104)</f>
        <v>51</v>
      </c>
      <c r="F155" s="39"/>
      <c r="G155" s="39"/>
      <c r="N155" s="283"/>
      <c r="O155" s="283"/>
    </row>
    <row r="156" spans="2:15">
      <c r="B156" s="173" t="str">
        <f ca="1"/>
        <v>Bellmore-Merrick Central High School District</v>
      </c>
      <c r="C156" s="175">
        <f>IF(COUNTIF(CONTROL!$B$52:$B$101,'Funding by District'!D52)&gt;=1,"",ROW()-104)</f>
        <v>52</v>
      </c>
      <c r="F156" s="39"/>
      <c r="G156" s="39"/>
      <c r="N156" s="283"/>
      <c r="O156" s="283"/>
    </row>
    <row r="157" spans="2:15">
      <c r="B157" s="173" t="str">
        <f ca="1"/>
        <v>Bemus Point Central School District</v>
      </c>
      <c r="C157" s="175">
        <f>IF(COUNTIF(CONTROL!$B$52:$B$101,'Funding by District'!D53)&gt;=1,"",ROW()-104)</f>
        <v>53</v>
      </c>
      <c r="F157" s="39"/>
      <c r="G157" s="39"/>
      <c r="N157" s="283"/>
      <c r="O157" s="283"/>
    </row>
    <row r="158" spans="2:15">
      <c r="B158" s="173" t="str">
        <f ca="1"/>
        <v>Berlin Central School District</v>
      </c>
      <c r="C158" s="175">
        <f>IF(COUNTIF(CONTROL!$B$52:$B$101,'Funding by District'!D54)&gt;=1,"",ROW()-104)</f>
        <v>54</v>
      </c>
      <c r="F158" s="39"/>
      <c r="G158" s="39"/>
      <c r="N158" s="283"/>
      <c r="O158" s="283"/>
    </row>
    <row r="159" spans="2:15">
      <c r="B159" s="173" t="str">
        <f ca="1"/>
        <v>Berne-Knox-Westerlo Central School District</v>
      </c>
      <c r="C159" s="175">
        <f>IF(COUNTIF(CONTROL!$B$52:$B$101,'Funding by District'!D55)&gt;=1,"",ROW()-104)</f>
        <v>55</v>
      </c>
      <c r="F159" s="39"/>
      <c r="G159" s="39"/>
      <c r="N159" s="283"/>
      <c r="O159" s="283"/>
    </row>
    <row r="160" spans="2:15">
      <c r="B160" s="173" t="str">
        <f ca="1"/>
        <v>Bethlehem Central School District</v>
      </c>
      <c r="C160" s="175">
        <f>IF(COUNTIF(CONTROL!$B$52:$B$101,'Funding by District'!D56)&gt;=1,"",ROW()-104)</f>
        <v>56</v>
      </c>
      <c r="F160" s="39"/>
      <c r="G160" s="39"/>
      <c r="N160" s="283"/>
      <c r="O160" s="283"/>
    </row>
    <row r="161" spans="2:15">
      <c r="B161" s="173" t="str">
        <f ca="1"/>
        <v>Bethpage Union Free School District</v>
      </c>
      <c r="C161" s="175">
        <f>IF(COUNTIF(CONTROL!$B$52:$B$101,'Funding by District'!D57)&gt;=1,"",ROW()-104)</f>
        <v>57</v>
      </c>
      <c r="F161" s="39"/>
      <c r="G161" s="39"/>
      <c r="N161" s="283"/>
      <c r="O161" s="283"/>
    </row>
    <row r="162" spans="2:15">
      <c r="B162" s="173" t="str">
        <f ca="1"/>
        <v>Binghamton City School District</v>
      </c>
      <c r="C162" s="175">
        <f>IF(COUNTIF(CONTROL!$B$52:$B$101,'Funding by District'!D58)&gt;=1,"",ROW()-104)</f>
        <v>58</v>
      </c>
      <c r="F162" s="39"/>
      <c r="G162" s="39"/>
      <c r="N162" s="283"/>
      <c r="O162" s="283"/>
    </row>
    <row r="163" spans="2:15">
      <c r="B163" s="173" t="str">
        <f ca="1"/>
        <v>Blind Brook-Rye Union Free School District</v>
      </c>
      <c r="C163" s="175">
        <f>IF(COUNTIF(CONTROL!$B$52:$B$101,'Funding by District'!D59)&gt;=1,"",ROW()-104)</f>
        <v>59</v>
      </c>
      <c r="F163" s="39"/>
      <c r="G163" s="39"/>
      <c r="N163" s="283"/>
      <c r="O163" s="283"/>
    </row>
    <row r="164" spans="2:15">
      <c r="B164" s="173" t="str">
        <f ca="1"/>
        <v>Bloomfield Central School District</v>
      </c>
      <c r="C164" s="175">
        <f>IF(COUNTIF(CONTROL!$B$52:$B$101,'Funding by District'!D60)&gt;=1,"",ROW()-104)</f>
        <v>60</v>
      </c>
      <c r="F164" s="39"/>
      <c r="G164" s="39"/>
      <c r="N164" s="283"/>
      <c r="O164" s="283"/>
    </row>
    <row r="165" spans="2:15">
      <c r="B165" s="173" t="str">
        <f ca="1"/>
        <v>Bolivar-Richburg Central School District</v>
      </c>
      <c r="C165" s="175">
        <f>IF(COUNTIF(CONTROL!$B$52:$B$101,'Funding by District'!D61)&gt;=1,"",ROW()-104)</f>
        <v>61</v>
      </c>
      <c r="F165" s="39"/>
      <c r="G165" s="39"/>
      <c r="N165" s="283"/>
      <c r="O165" s="283"/>
    </row>
    <row r="166" spans="2:15">
      <c r="B166" s="173" t="str">
        <f ca="1"/>
        <v>Bolton Central School District</v>
      </c>
      <c r="C166" s="175">
        <f>IF(COUNTIF(CONTROL!$B$52:$B$101,'Funding by District'!D62)&gt;=1,"",ROW()-104)</f>
        <v>62</v>
      </c>
      <c r="F166" s="39"/>
      <c r="G166" s="39"/>
      <c r="N166" s="283"/>
      <c r="O166" s="283"/>
    </row>
    <row r="167" spans="2:15">
      <c r="B167" s="173" t="str">
        <f ca="1"/>
        <v>Boquet Valley Central School District</v>
      </c>
      <c r="C167" s="175">
        <f>IF(COUNTIF(CONTROL!$B$52:$B$101,'Funding by District'!D63)&gt;=1,"",ROW()-104)</f>
        <v>63</v>
      </c>
      <c r="F167" s="39"/>
      <c r="G167" s="39"/>
      <c r="N167" s="283"/>
      <c r="O167" s="283"/>
    </row>
    <row r="168" spans="2:15">
      <c r="B168" s="173" t="str">
        <f ca="1"/>
        <v>Bradford Central School District</v>
      </c>
      <c r="C168" s="175">
        <f>IF(COUNTIF(CONTROL!$B$52:$B$101,'Funding by District'!D64)&gt;=1,"",ROW()-104)</f>
        <v>64</v>
      </c>
      <c r="F168" s="39"/>
      <c r="G168" s="39"/>
      <c r="N168" s="283"/>
      <c r="O168" s="283"/>
    </row>
    <row r="169" spans="2:15">
      <c r="B169" s="173" t="str">
        <f ca="1"/>
        <v>Brasher Falls Central School District</v>
      </c>
      <c r="C169" s="175">
        <f>IF(COUNTIF(CONTROL!$B$52:$B$101,'Funding by District'!D65)&gt;=1,"",ROW()-104)</f>
        <v>65</v>
      </c>
      <c r="F169" s="39"/>
      <c r="G169" s="39"/>
      <c r="N169" s="283"/>
      <c r="O169" s="283"/>
    </row>
    <row r="170" spans="2:15">
      <c r="B170" s="173" t="str">
        <f ca="1"/>
        <v>Brentwood Union Free School District</v>
      </c>
      <c r="C170" s="175">
        <f>IF(COUNTIF(CONTROL!$B$52:$B$101,'Funding by District'!D66)&gt;=1,"",ROW()-104)</f>
        <v>66</v>
      </c>
      <c r="F170" s="39"/>
      <c r="G170" s="39"/>
      <c r="N170" s="283"/>
      <c r="O170" s="283"/>
    </row>
    <row r="171" spans="2:15">
      <c r="B171" s="173" t="str">
        <f ca="1"/>
        <v>Brewster Central School District</v>
      </c>
      <c r="C171" s="175">
        <f>IF(COUNTIF(CONTROL!$B$52:$B$101,'Funding by District'!D67)&gt;=1,"",ROW()-104)</f>
        <v>67</v>
      </c>
      <c r="F171" s="39"/>
      <c r="G171" s="39"/>
      <c r="N171" s="283"/>
      <c r="O171" s="283"/>
    </row>
    <row r="172" spans="2:15">
      <c r="B172" s="173" t="str">
        <f ca="1"/>
        <v>Briarcliff Manor Union Free School District</v>
      </c>
      <c r="C172" s="175">
        <f>IF(COUNTIF(CONTROL!$B$52:$B$101,'Funding by District'!D68)&gt;=1,"",ROW()-104)</f>
        <v>68</v>
      </c>
      <c r="F172" s="39"/>
      <c r="G172" s="39"/>
      <c r="N172" s="283"/>
      <c r="O172" s="283"/>
    </row>
    <row r="173" spans="2:15">
      <c r="B173" s="173" t="str">
        <f ca="1"/>
        <v>Bridgehampton Union Free School District</v>
      </c>
      <c r="C173" s="175">
        <f>IF(COUNTIF(CONTROL!$B$52:$B$101,'Funding by District'!D69)&gt;=1,"",ROW()-104)</f>
        <v>69</v>
      </c>
      <c r="F173" s="39"/>
      <c r="G173" s="39"/>
      <c r="N173" s="283"/>
      <c r="O173" s="283"/>
    </row>
    <row r="174" spans="2:15">
      <c r="B174" s="173" t="str">
        <f ca="1"/>
        <v>Brighton Central School District</v>
      </c>
      <c r="C174" s="175">
        <f>IF(COUNTIF(CONTROL!$B$52:$B$101,'Funding by District'!D70)&gt;=1,"",ROW()-104)</f>
        <v>70</v>
      </c>
      <c r="F174" s="39"/>
      <c r="G174" s="39"/>
      <c r="N174" s="283"/>
      <c r="O174" s="283"/>
    </row>
    <row r="175" spans="2:15">
      <c r="B175" s="173" t="str">
        <f ca="1"/>
        <v>Broadalbin-Perth Central School District</v>
      </c>
      <c r="C175" s="175">
        <f>IF(COUNTIF(CONTROL!$B$52:$B$101,'Funding by District'!D71)&gt;=1,"",ROW()-104)</f>
        <v>71</v>
      </c>
      <c r="F175" s="39"/>
      <c r="G175" s="39"/>
      <c r="N175" s="283"/>
      <c r="O175" s="283"/>
    </row>
    <row r="176" spans="2:15">
      <c r="B176" s="173" t="str">
        <f ca="1"/>
        <v>Brockport Central School District</v>
      </c>
      <c r="C176" s="175">
        <f>IF(COUNTIF(CONTROL!$B$52:$B$101,'Funding by District'!D72)&gt;=1,"",ROW()-104)</f>
        <v>72</v>
      </c>
      <c r="F176" s="39"/>
      <c r="G176" s="39"/>
      <c r="N176" s="283"/>
      <c r="O176" s="283"/>
    </row>
    <row r="177" spans="2:15">
      <c r="B177" s="173" t="str">
        <f ca="1"/>
        <v>Brocton Central School District</v>
      </c>
      <c r="C177" s="175">
        <f>IF(COUNTIF(CONTROL!$B$52:$B$101,'Funding by District'!D73)&gt;=1,"",ROW()-104)</f>
        <v>73</v>
      </c>
      <c r="F177" s="39"/>
      <c r="G177" s="39"/>
      <c r="N177" s="283"/>
      <c r="O177" s="283"/>
    </row>
    <row r="178" spans="2:15">
      <c r="B178" s="173" t="str">
        <f ca="1"/>
        <v>Bronxville Union Free School District</v>
      </c>
      <c r="C178" s="175">
        <f>IF(COUNTIF(CONTROL!$B$52:$B$101,'Funding by District'!D74)&gt;=1,"",ROW()-104)</f>
        <v>74</v>
      </c>
      <c r="F178" s="39"/>
      <c r="G178" s="39"/>
      <c r="N178" s="283"/>
      <c r="O178" s="283"/>
    </row>
    <row r="179" spans="2:15">
      <c r="B179" s="173" t="str">
        <f ca="1"/>
        <v>Brookfield Central School District</v>
      </c>
      <c r="C179" s="175">
        <f>IF(COUNTIF(CONTROL!$B$52:$B$101,'Funding by District'!D75)&gt;=1,"",ROW()-104)</f>
        <v>75</v>
      </c>
      <c r="F179" s="39"/>
      <c r="G179" s="39"/>
      <c r="N179" s="283"/>
      <c r="O179" s="283"/>
    </row>
    <row r="180" spans="2:15">
      <c r="B180" s="173" t="str">
        <f ca="1"/>
        <v>Brunswick Central School District</v>
      </c>
      <c r="C180" s="175">
        <f>IF(COUNTIF(CONTROL!$B$52:$B$101,'Funding by District'!D76)&gt;=1,"",ROW()-104)</f>
        <v>76</v>
      </c>
      <c r="F180" s="39"/>
      <c r="G180" s="39"/>
      <c r="N180" s="283"/>
      <c r="O180" s="283"/>
    </row>
    <row r="181" spans="2:15">
      <c r="B181" s="173" t="str">
        <f ca="1"/>
        <v>Brushton-Moira Central School District</v>
      </c>
      <c r="C181" s="175">
        <f>IF(COUNTIF(CONTROL!$B$52:$B$101,'Funding by District'!D77)&gt;=1,"",ROW()-104)</f>
        <v>77</v>
      </c>
      <c r="F181" s="39"/>
      <c r="G181" s="39"/>
      <c r="N181" s="283"/>
      <c r="O181" s="283"/>
    </row>
    <row r="182" spans="2:15">
      <c r="B182" s="173" t="str">
        <f ca="1"/>
        <v>Buffalo City School District</v>
      </c>
      <c r="C182" s="175">
        <f>IF(COUNTIF(CONTROL!$B$52:$B$101,'Funding by District'!D78)&gt;=1,"",ROW()-104)</f>
        <v>78</v>
      </c>
      <c r="F182" s="39"/>
      <c r="G182" s="39"/>
      <c r="N182" s="283"/>
      <c r="O182" s="283"/>
    </row>
    <row r="183" spans="2:15">
      <c r="B183" s="173" t="str">
        <f ca="1"/>
        <v>Burnt Hills-Ballston Lake Central School District</v>
      </c>
      <c r="C183" s="175">
        <f>IF(COUNTIF(CONTROL!$B$52:$B$101,'Funding by District'!D79)&gt;=1,"",ROW()-104)</f>
        <v>79</v>
      </c>
      <c r="F183" s="39"/>
      <c r="G183" s="39"/>
      <c r="N183" s="283"/>
      <c r="O183" s="283"/>
    </row>
    <row r="184" spans="2:15">
      <c r="B184" s="173" t="str">
        <f ca="1"/>
        <v>Byram Hills Central School District</v>
      </c>
      <c r="C184" s="175">
        <f>IF(COUNTIF(CONTROL!$B$52:$B$101,'Funding by District'!D80)&gt;=1,"",ROW()-104)</f>
        <v>80</v>
      </c>
      <c r="F184" s="39"/>
      <c r="G184" s="39"/>
      <c r="N184" s="283"/>
      <c r="O184" s="283"/>
    </row>
    <row r="185" spans="2:15">
      <c r="B185" s="173" t="str">
        <f ca="1"/>
        <v>Byron-Bergen Central School District</v>
      </c>
      <c r="C185" s="175">
        <f>IF(COUNTIF(CONTROL!$B$52:$B$101,'Funding by District'!D81)&gt;=1,"",ROW()-104)</f>
        <v>81</v>
      </c>
      <c r="F185" s="39"/>
      <c r="G185" s="39"/>
      <c r="N185" s="283"/>
      <c r="O185" s="283"/>
    </row>
    <row r="186" spans="2:15">
      <c r="B186" s="173" t="str">
        <f ca="1"/>
        <v>Cairo-Durham Central School District</v>
      </c>
      <c r="C186" s="175">
        <f>IF(COUNTIF(CONTROL!$B$52:$B$101,'Funding by District'!D82)&gt;=1,"",ROW()-104)</f>
        <v>82</v>
      </c>
      <c r="F186" s="39"/>
      <c r="G186" s="39"/>
      <c r="N186" s="283"/>
      <c r="O186" s="283"/>
    </row>
    <row r="187" spans="2:15">
      <c r="B187" s="173" t="str">
        <f ca="1"/>
        <v>Caledonia-Mumford Central School District</v>
      </c>
      <c r="C187" s="175">
        <f>IF(COUNTIF(CONTROL!$B$52:$B$101,'Funding by District'!D83)&gt;=1,"",ROW()-104)</f>
        <v>83</v>
      </c>
      <c r="F187" s="39"/>
      <c r="G187" s="39"/>
      <c r="N187" s="283"/>
      <c r="O187" s="283"/>
    </row>
    <row r="188" spans="2:15">
      <c r="B188" s="173" t="str">
        <f ca="1"/>
        <v>Cambridge Central School District</v>
      </c>
      <c r="C188" s="175">
        <f>IF(COUNTIF(CONTROL!$B$52:$B$101,'Funding by District'!D84)&gt;=1,"",ROW()-104)</f>
        <v>84</v>
      </c>
      <c r="F188" s="39"/>
      <c r="G188" s="39"/>
      <c r="N188" s="283"/>
      <c r="O188" s="283"/>
    </row>
    <row r="189" spans="2:15">
      <c r="B189" s="173" t="str">
        <f ca="1"/>
        <v>Camden Central School District</v>
      </c>
      <c r="C189" s="175">
        <f>IF(COUNTIF(CONTROL!$B$52:$B$101,'Funding by District'!D85)&gt;=1,"",ROW()-104)</f>
        <v>85</v>
      </c>
      <c r="F189" s="39"/>
      <c r="G189" s="39"/>
      <c r="N189" s="283"/>
      <c r="O189" s="283"/>
    </row>
    <row r="190" spans="2:15">
      <c r="B190" s="173" t="str">
        <f ca="1"/>
        <v>Campbell-Savona Central School District</v>
      </c>
      <c r="C190" s="175">
        <f>IF(COUNTIF(CONTROL!$B$52:$B$101,'Funding by District'!D86)&gt;=1,"",ROW()-104)</f>
        <v>86</v>
      </c>
      <c r="F190" s="39"/>
      <c r="G190" s="39"/>
      <c r="N190" s="283"/>
      <c r="O190" s="283"/>
    </row>
    <row r="191" spans="2:15">
      <c r="B191" s="173" t="str">
        <f ca="1"/>
        <v>Canajoharie Central School District</v>
      </c>
      <c r="C191" s="175">
        <f>IF(COUNTIF(CONTROL!$B$52:$B$101,'Funding by District'!D87)&gt;=1,"",ROW()-104)</f>
        <v>87</v>
      </c>
      <c r="F191" s="39"/>
      <c r="G191" s="39"/>
      <c r="N191" s="283"/>
      <c r="O191" s="283"/>
    </row>
    <row r="192" spans="2:15">
      <c r="B192" s="173" t="str">
        <f ca="1"/>
        <v>Canandaigua City School District</v>
      </c>
      <c r="C192" s="175">
        <f>IF(COUNTIF(CONTROL!$B$52:$B$101,'Funding by District'!D88)&gt;=1,"",ROW()-104)</f>
        <v>88</v>
      </c>
      <c r="F192" s="39"/>
      <c r="G192" s="39"/>
      <c r="N192" s="283"/>
      <c r="O192" s="283"/>
    </row>
    <row r="193" spans="2:15">
      <c r="B193" s="173" t="str">
        <f ca="1"/>
        <v>Canaseraga Central School District</v>
      </c>
      <c r="C193" s="175">
        <f>IF(COUNTIF(CONTROL!$B$52:$B$101,'Funding by District'!D89)&gt;=1,"",ROW()-104)</f>
        <v>89</v>
      </c>
      <c r="F193" s="39"/>
      <c r="G193" s="39"/>
      <c r="N193" s="283"/>
      <c r="O193" s="283"/>
    </row>
    <row r="194" spans="2:15">
      <c r="B194" s="173" t="str">
        <f ca="1"/>
        <v>Canastota Central School District</v>
      </c>
      <c r="C194" s="175">
        <f>IF(COUNTIF(CONTROL!$B$52:$B$101,'Funding by District'!D90)&gt;=1,"",ROW()-104)</f>
        <v>90</v>
      </c>
      <c r="F194" s="39"/>
      <c r="G194" s="39"/>
      <c r="N194" s="283"/>
      <c r="O194" s="283"/>
    </row>
    <row r="195" spans="2:15">
      <c r="B195" s="173" t="str">
        <f ca="1"/>
        <v>Candor Central School District</v>
      </c>
      <c r="C195" s="175">
        <f>IF(COUNTIF(CONTROL!$B$52:$B$101,'Funding by District'!D91)&gt;=1,"",ROW()-104)</f>
        <v>91</v>
      </c>
      <c r="F195" s="39"/>
      <c r="G195" s="39"/>
      <c r="N195" s="283"/>
      <c r="O195" s="283"/>
    </row>
    <row r="196" spans="2:15">
      <c r="B196" s="173" t="str">
        <f ca="1"/>
        <v>Canisteo-Greenwood Central School District</v>
      </c>
      <c r="C196" s="175">
        <f>IF(COUNTIF(CONTROL!$B$52:$B$101,'Funding by District'!D92)&gt;=1,"",ROW()-104)</f>
        <v>92</v>
      </c>
      <c r="F196" s="39"/>
      <c r="G196" s="39"/>
      <c r="N196" s="283"/>
      <c r="O196" s="283"/>
    </row>
    <row r="197" spans="2:15">
      <c r="B197" s="173" t="str">
        <f ca="1"/>
        <v>Canton Central School District</v>
      </c>
      <c r="C197" s="175">
        <f>IF(COUNTIF(CONTROL!$B$52:$B$101,'Funding by District'!D93)&gt;=1,"",ROW()-104)</f>
        <v>93</v>
      </c>
      <c r="F197" s="39"/>
      <c r="G197" s="39"/>
      <c r="N197" s="283"/>
      <c r="O197" s="283"/>
    </row>
    <row r="198" spans="2:15">
      <c r="B198" s="173" t="str">
        <f ca="1"/>
        <v>Carle Place Union Free School District</v>
      </c>
      <c r="C198" s="175">
        <f>IF(COUNTIF(CONTROL!$B$52:$B$101,'Funding by District'!D94)&gt;=1,"",ROW()-104)</f>
        <v>94</v>
      </c>
      <c r="F198" s="39"/>
      <c r="G198" s="39"/>
      <c r="N198" s="283"/>
      <c r="O198" s="283"/>
    </row>
    <row r="199" spans="2:15">
      <c r="B199" s="173" t="str">
        <f ca="1"/>
        <v>Carmel Central School District</v>
      </c>
      <c r="C199" s="175">
        <f>IF(COUNTIF(CONTROL!$B$52:$B$101,'Funding by District'!D95)&gt;=1,"",ROW()-104)</f>
        <v>95</v>
      </c>
      <c r="F199" s="39"/>
      <c r="G199" s="39"/>
      <c r="N199" s="283"/>
      <c r="O199" s="283"/>
    </row>
    <row r="200" spans="2:15">
      <c r="B200" s="173" t="str">
        <f ca="1"/>
        <v>Carthage Central School District</v>
      </c>
      <c r="C200" s="175">
        <f>IF(COUNTIF(CONTROL!$B$52:$B$101,'Funding by District'!D96)&gt;=1,"",ROW()-104)</f>
        <v>96</v>
      </c>
      <c r="F200" s="39"/>
      <c r="G200" s="39"/>
      <c r="N200" s="283"/>
      <c r="O200" s="283"/>
    </row>
    <row r="201" spans="2:15">
      <c r="B201" s="173" t="str">
        <f ca="1"/>
        <v>Cassadaga Valley Central School District</v>
      </c>
      <c r="C201" s="175">
        <f>IF(COUNTIF(CONTROL!$B$52:$B$101,'Funding by District'!D97)&gt;=1,"",ROW()-104)</f>
        <v>97</v>
      </c>
      <c r="F201" s="39"/>
      <c r="G201" s="39"/>
      <c r="N201" s="283"/>
      <c r="O201" s="283"/>
    </row>
    <row r="202" spans="2:15">
      <c r="B202" s="173" t="str">
        <f ca="1"/>
        <v>Cato-Meridian Central School District</v>
      </c>
      <c r="C202" s="175">
        <f>IF(COUNTIF(CONTROL!$B$52:$B$101,'Funding by District'!D98)&gt;=1,"",ROW()-104)</f>
        <v>98</v>
      </c>
      <c r="F202" s="39"/>
      <c r="G202" s="39"/>
      <c r="N202" s="283"/>
      <c r="O202" s="283"/>
    </row>
    <row r="203" spans="2:15">
      <c r="B203" s="173" t="str">
        <f ca="1"/>
        <v>Catskill Central School District</v>
      </c>
      <c r="C203" s="175">
        <f>IF(COUNTIF(CONTROL!$B$52:$B$101,'Funding by District'!D99)&gt;=1,"",ROW()-104)</f>
        <v>99</v>
      </c>
      <c r="F203" s="39"/>
      <c r="G203" s="39"/>
      <c r="N203" s="283"/>
      <c r="O203" s="283"/>
    </row>
    <row r="204" spans="2:15">
      <c r="B204" s="173" t="str">
        <f ca="1"/>
        <v>Cattaraugus-Little Valley Central School District</v>
      </c>
      <c r="C204" s="175">
        <f>IF(COUNTIF(CONTROL!$B$52:$B$101,'Funding by District'!D100)&gt;=1,"",ROW()-104)</f>
        <v>100</v>
      </c>
      <c r="F204" s="39"/>
      <c r="G204" s="39"/>
      <c r="N204" s="283"/>
      <c r="O204" s="283"/>
    </row>
    <row r="205" spans="2:15">
      <c r="B205" s="173" t="str">
        <f ca="1"/>
        <v>Cazenovia Central School District</v>
      </c>
      <c r="C205" s="175">
        <f>IF(COUNTIF(CONTROL!$B$52:$B$101,'Funding by District'!D101)&gt;=1,"",ROW()-104)</f>
        <v>101</v>
      </c>
      <c r="F205" s="39"/>
      <c r="G205" s="39"/>
      <c r="N205" s="283"/>
      <c r="O205" s="283"/>
    </row>
    <row r="206" spans="2:15">
      <c r="B206" s="173" t="str">
        <f ca="1"/>
        <v>Center Moriches Union Free School District</v>
      </c>
      <c r="C206" s="175">
        <f>IF(COUNTIF(CONTROL!$B$52:$B$101,'Funding by District'!D102)&gt;=1,"",ROW()-104)</f>
        <v>102</v>
      </c>
      <c r="F206" s="39"/>
      <c r="G206" s="39"/>
      <c r="N206" s="283"/>
      <c r="O206" s="283"/>
    </row>
    <row r="207" spans="2:15">
      <c r="B207" s="173" t="str">
        <f ca="1"/>
        <v>Central Islip Union Free School District</v>
      </c>
      <c r="C207" s="175">
        <f>IF(COUNTIF(CONTROL!$B$52:$B$101,'Funding by District'!D103)&gt;=1,"",ROW()-104)</f>
        <v>103</v>
      </c>
      <c r="F207" s="39"/>
      <c r="G207" s="39"/>
      <c r="N207" s="283"/>
      <c r="O207" s="283"/>
    </row>
    <row r="208" spans="2:15">
      <c r="B208" s="173" t="str">
        <f ca="1"/>
        <v>Central Square Central School District</v>
      </c>
      <c r="C208" s="175">
        <f>IF(COUNTIF(CONTROL!$B$52:$B$101,'Funding by District'!D104)&gt;=1,"",ROW()-104)</f>
        <v>104</v>
      </c>
      <c r="F208" s="39"/>
      <c r="G208" s="39"/>
      <c r="N208" s="283"/>
      <c r="O208" s="283"/>
    </row>
    <row r="209" spans="2:15">
      <c r="B209" s="173" t="str">
        <f ca="1"/>
        <v>Central Valley Central School District at Ilion-Mohawk</v>
      </c>
      <c r="C209" s="175">
        <f>IF(COUNTIF(CONTROL!$B$52:$B$101,'Funding by District'!D105)&gt;=1,"",ROW()-104)</f>
        <v>105</v>
      </c>
      <c r="F209" s="39"/>
      <c r="G209" s="39"/>
      <c r="N209" s="283"/>
      <c r="O209" s="283"/>
    </row>
    <row r="210" spans="2:15">
      <c r="B210" s="173" t="str">
        <f ca="1"/>
        <v>Chappaqua Central School District</v>
      </c>
      <c r="C210" s="175">
        <f>IF(COUNTIF(CONTROL!$B$52:$B$101,'Funding by District'!D106)&gt;=1,"",ROW()-104)</f>
        <v>106</v>
      </c>
      <c r="F210" s="39"/>
      <c r="G210" s="39"/>
      <c r="N210" s="283"/>
      <c r="O210" s="283"/>
    </row>
    <row r="211" spans="2:15">
      <c r="B211" s="173" t="str">
        <f ca="1"/>
        <v>Charlotte Valley Central School District</v>
      </c>
      <c r="C211" s="175">
        <f>IF(COUNTIF(CONTROL!$B$52:$B$101,'Funding by District'!D107)&gt;=1,"",ROW()-104)</f>
        <v>107</v>
      </c>
      <c r="F211" s="39"/>
      <c r="G211" s="39"/>
      <c r="N211" s="283"/>
      <c r="O211" s="283"/>
    </row>
    <row r="212" spans="2:15">
      <c r="B212" s="173" t="str">
        <f ca="1"/>
        <v>Chateaugay Central School District</v>
      </c>
      <c r="C212" s="175">
        <f>IF(COUNTIF(CONTROL!$B$52:$B$101,'Funding by District'!D108)&gt;=1,"",ROW()-104)</f>
        <v>108</v>
      </c>
      <c r="F212" s="39"/>
      <c r="G212" s="39"/>
      <c r="N212" s="283"/>
      <c r="O212" s="283"/>
    </row>
    <row r="213" spans="2:15">
      <c r="B213" s="173" t="str">
        <f ca="1"/>
        <v>Chatham Central School District</v>
      </c>
      <c r="C213" s="175">
        <f>IF(COUNTIF(CONTROL!$B$52:$B$101,'Funding by District'!D109)&gt;=1,"",ROW()-104)</f>
        <v>109</v>
      </c>
      <c r="F213" s="39"/>
      <c r="G213" s="39"/>
      <c r="N213" s="283"/>
      <c r="O213" s="283"/>
    </row>
    <row r="214" spans="2:15">
      <c r="B214" s="173" t="str">
        <f ca="1"/>
        <v>Chautauqua Lake Central School District</v>
      </c>
      <c r="C214" s="175">
        <f>IF(COUNTIF(CONTROL!$B$52:$B$101,'Funding by District'!D110)&gt;=1,"",ROW()-104)</f>
        <v>110</v>
      </c>
      <c r="F214" s="39"/>
      <c r="G214" s="39"/>
      <c r="N214" s="283"/>
      <c r="O214" s="283"/>
    </row>
    <row r="215" spans="2:15">
      <c r="B215" s="173" t="str">
        <f ca="1"/>
        <v>Chazy Union Free School District</v>
      </c>
      <c r="C215" s="175">
        <f>IF(COUNTIF(CONTROL!$B$52:$B$101,'Funding by District'!D111)&gt;=1,"",ROW()-104)</f>
        <v>111</v>
      </c>
      <c r="F215" s="39"/>
      <c r="G215" s="39"/>
      <c r="N215" s="283"/>
      <c r="O215" s="283"/>
    </row>
    <row r="216" spans="2:15">
      <c r="B216" s="173" t="str">
        <f ca="1"/>
        <v>Cheektowaga Central School District</v>
      </c>
      <c r="C216" s="175">
        <f>IF(COUNTIF(CONTROL!$B$52:$B$101,'Funding by District'!D112)&gt;=1,"",ROW()-104)</f>
        <v>112</v>
      </c>
      <c r="F216" s="39"/>
      <c r="G216" s="39"/>
      <c r="N216" s="283"/>
      <c r="O216" s="283"/>
    </row>
    <row r="217" spans="2:15">
      <c r="B217" s="173" t="str">
        <f ca="1"/>
        <v>Cheektowaga-Sloan Union Free School District</v>
      </c>
      <c r="C217" s="175">
        <f>IF(COUNTIF(CONTROL!$B$52:$B$101,'Funding by District'!D113)&gt;=1,"",ROW()-104)</f>
        <v>113</v>
      </c>
      <c r="F217" s="39"/>
      <c r="G217" s="39"/>
      <c r="N217" s="283"/>
      <c r="O217" s="283"/>
    </row>
    <row r="218" spans="2:15">
      <c r="B218" s="173" t="str">
        <f ca="1"/>
        <v>Chenango Forks Central School District</v>
      </c>
      <c r="C218" s="175">
        <f>IF(COUNTIF(CONTROL!$B$52:$B$101,'Funding by District'!D114)&gt;=1,"",ROW()-104)</f>
        <v>114</v>
      </c>
      <c r="F218" s="39"/>
      <c r="G218" s="39"/>
      <c r="N218" s="283"/>
      <c r="O218" s="283"/>
    </row>
    <row r="219" spans="2:15">
      <c r="B219" s="173" t="str">
        <f ca="1"/>
        <v>Chenango Valley Central School District</v>
      </c>
      <c r="C219" s="175">
        <f>IF(COUNTIF(CONTROL!$B$52:$B$101,'Funding by District'!D115)&gt;=1,"",ROW()-104)</f>
        <v>115</v>
      </c>
      <c r="F219" s="39"/>
      <c r="G219" s="39"/>
      <c r="N219" s="283"/>
      <c r="O219" s="283"/>
    </row>
    <row r="220" spans="2:15">
      <c r="B220" s="173" t="str">
        <f ca="1"/>
        <v>Cherry Valley-Springfield Central School District</v>
      </c>
      <c r="C220" s="175">
        <f>IF(COUNTIF(CONTROL!$B$52:$B$101,'Funding by District'!D116)&gt;=1,"",ROW()-104)</f>
        <v>116</v>
      </c>
      <c r="F220" s="39"/>
      <c r="G220" s="39"/>
      <c r="N220" s="283"/>
      <c r="O220" s="283"/>
    </row>
    <row r="221" spans="2:15">
      <c r="B221" s="173" t="str">
        <f ca="1"/>
        <v>Chester Union Free School District</v>
      </c>
      <c r="C221" s="175">
        <f>IF(COUNTIF(CONTROL!$B$52:$B$101,'Funding by District'!D117)&gt;=1,"",ROW()-104)</f>
        <v>117</v>
      </c>
      <c r="F221" s="39"/>
      <c r="G221" s="39"/>
      <c r="N221" s="283"/>
      <c r="O221" s="283"/>
    </row>
    <row r="222" spans="2:15">
      <c r="B222" s="173" t="str">
        <f ca="1"/>
        <v>Chittenango Central School District</v>
      </c>
      <c r="C222" s="175">
        <f>IF(COUNTIF(CONTROL!$B$52:$B$101,'Funding by District'!D118)&gt;=1,"",ROW()-104)</f>
        <v>118</v>
      </c>
      <c r="F222" s="39"/>
      <c r="G222" s="39"/>
      <c r="N222" s="283"/>
      <c r="O222" s="283"/>
    </row>
    <row r="223" spans="2:15">
      <c r="B223" s="173" t="str">
        <f ca="1"/>
        <v>Churchville-Chili Central School District</v>
      </c>
      <c r="C223" s="175">
        <f>IF(COUNTIF(CONTROL!$B$52:$B$101,'Funding by District'!D119)&gt;=1,"",ROW()-104)</f>
        <v>119</v>
      </c>
      <c r="F223" s="39"/>
      <c r="G223" s="39"/>
      <c r="N223" s="283"/>
      <c r="O223" s="283"/>
    </row>
    <row r="224" spans="2:15">
      <c r="B224" s="173" t="str">
        <f ca="1"/>
        <v>Cincinnatus Central School District</v>
      </c>
      <c r="C224" s="175">
        <f>IF(COUNTIF(CONTROL!$B$52:$B$101,'Funding by District'!D120)&gt;=1,"",ROW()-104)</f>
        <v>120</v>
      </c>
      <c r="F224" s="39"/>
      <c r="G224" s="39"/>
      <c r="N224" s="283"/>
      <c r="O224" s="283"/>
    </row>
    <row r="225" spans="2:15">
      <c r="B225" s="173" t="str">
        <f ca="1"/>
        <v>Clarence Central School District</v>
      </c>
      <c r="C225" s="175">
        <f>IF(COUNTIF(CONTROL!$B$52:$B$101,'Funding by District'!D121)&gt;=1,"",ROW()-104)</f>
        <v>121</v>
      </c>
      <c r="F225" s="39"/>
      <c r="G225" s="39"/>
      <c r="N225" s="283"/>
      <c r="O225" s="283"/>
    </row>
    <row r="226" spans="2:15">
      <c r="B226" s="173" t="str">
        <f ca="1"/>
        <v>Clarkstown Central School District</v>
      </c>
      <c r="C226" s="175">
        <f>IF(COUNTIF(CONTROL!$B$52:$B$101,'Funding by District'!D122)&gt;=1,"",ROW()-104)</f>
        <v>122</v>
      </c>
      <c r="F226" s="39"/>
      <c r="G226" s="39"/>
      <c r="N226" s="283"/>
      <c r="O226" s="283"/>
    </row>
    <row r="227" spans="2:15">
      <c r="B227" s="173" t="str">
        <f ca="1"/>
        <v>Cleveland Hill Union Free School District</v>
      </c>
      <c r="C227" s="175">
        <f>IF(COUNTIF(CONTROL!$B$52:$B$101,'Funding by District'!D123)&gt;=1,"",ROW()-104)</f>
        <v>123</v>
      </c>
      <c r="F227" s="39"/>
      <c r="G227" s="39"/>
      <c r="N227" s="283"/>
      <c r="O227" s="283"/>
    </row>
    <row r="228" spans="2:15">
      <c r="B228" s="173" t="str">
        <f ca="1"/>
        <v>Clifton-Fine Central School District</v>
      </c>
      <c r="C228" s="175">
        <f>IF(COUNTIF(CONTROL!$B$52:$B$101,'Funding by District'!D124)&gt;=1,"",ROW()-104)</f>
        <v>124</v>
      </c>
      <c r="F228" s="39"/>
      <c r="G228" s="39"/>
      <c r="N228" s="283"/>
      <c r="O228" s="283"/>
    </row>
    <row r="229" spans="2:15">
      <c r="B229" s="173" t="str">
        <f ca="1"/>
        <v>Clinton Central School District</v>
      </c>
      <c r="C229" s="175">
        <f>IF(COUNTIF(CONTROL!$B$52:$B$101,'Funding by District'!D125)&gt;=1,"",ROW()-104)</f>
        <v>125</v>
      </c>
      <c r="F229" s="39"/>
      <c r="G229" s="39"/>
      <c r="N229" s="283"/>
      <c r="O229" s="283"/>
    </row>
    <row r="230" spans="2:15">
      <c r="B230" s="173" t="str">
        <f ca="1"/>
        <v>Clyde-Savannah Central School District</v>
      </c>
      <c r="C230" s="175">
        <f>IF(COUNTIF(CONTROL!$B$52:$B$101,'Funding by District'!D126)&gt;=1,"",ROW()-104)</f>
        <v>126</v>
      </c>
      <c r="F230" s="39"/>
      <c r="G230" s="39"/>
      <c r="N230" s="283"/>
      <c r="O230" s="283"/>
    </row>
    <row r="231" spans="2:15">
      <c r="B231" s="173" t="str">
        <f ca="1"/>
        <v>Clymer Central School District</v>
      </c>
      <c r="C231" s="175">
        <f>IF(COUNTIF(CONTROL!$B$52:$B$101,'Funding by District'!D127)&gt;=1,"",ROW()-104)</f>
        <v>127</v>
      </c>
      <c r="F231" s="39"/>
      <c r="G231" s="39"/>
      <c r="N231" s="283"/>
      <c r="O231" s="283"/>
    </row>
    <row r="232" spans="2:15">
      <c r="B232" s="173" t="str">
        <f ca="1"/>
        <v>Cobleskill-Richmondville Central School District</v>
      </c>
      <c r="C232" s="175">
        <f>IF(COUNTIF(CONTROL!$B$52:$B$101,'Funding by District'!D128)&gt;=1,"",ROW()-104)</f>
        <v>128</v>
      </c>
      <c r="F232" s="39"/>
      <c r="G232" s="39"/>
      <c r="N232" s="283"/>
      <c r="O232" s="283"/>
    </row>
    <row r="233" spans="2:15">
      <c r="B233" s="173" t="str">
        <f ca="1"/>
        <v>Cohoes City School District</v>
      </c>
      <c r="C233" s="175">
        <f>IF(COUNTIF(CONTROL!$B$52:$B$101,'Funding by District'!D129)&gt;=1,"",ROW()-104)</f>
        <v>129</v>
      </c>
      <c r="F233" s="39"/>
      <c r="G233" s="39"/>
      <c r="N233" s="283"/>
      <c r="O233" s="283"/>
    </row>
    <row r="234" spans="2:15">
      <c r="B234" s="173" t="str">
        <f ca="1"/>
        <v>Cold Spring Harbor Central School District</v>
      </c>
      <c r="C234" s="175">
        <f>IF(COUNTIF(CONTROL!$B$52:$B$101,'Funding by District'!D130)&gt;=1,"",ROW()-104)</f>
        <v>130</v>
      </c>
      <c r="F234" s="39"/>
      <c r="G234" s="39"/>
      <c r="N234" s="283"/>
      <c r="O234" s="283"/>
    </row>
    <row r="235" spans="2:15">
      <c r="B235" s="173" t="str">
        <f ca="1"/>
        <v>Colton-Pierrepont Central School District</v>
      </c>
      <c r="C235" s="175">
        <f>IF(COUNTIF(CONTROL!$B$52:$B$101,'Funding by District'!D131)&gt;=1,"",ROW()-104)</f>
        <v>131</v>
      </c>
      <c r="F235" s="39"/>
      <c r="G235" s="39"/>
      <c r="N235" s="283"/>
      <c r="O235" s="283"/>
    </row>
    <row r="236" spans="2:15">
      <c r="B236" s="173" t="str">
        <f ca="1"/>
        <v>Commack Union Free School District</v>
      </c>
      <c r="C236" s="175">
        <f>IF(COUNTIF(CONTROL!$B$52:$B$101,'Funding by District'!D132)&gt;=1,"",ROW()-104)</f>
        <v>132</v>
      </c>
      <c r="F236" s="39"/>
      <c r="G236" s="39"/>
      <c r="N236" s="283"/>
      <c r="O236" s="283"/>
    </row>
    <row r="237" spans="2:15">
      <c r="B237" s="173" t="str">
        <f ca="1"/>
        <v>Comsewogue Union Free School District</v>
      </c>
      <c r="C237" s="175">
        <f>IF(COUNTIF(CONTROL!$B$52:$B$101,'Funding by District'!D133)&gt;=1,"",ROW()-104)</f>
        <v>133</v>
      </c>
      <c r="F237" s="39"/>
      <c r="G237" s="39"/>
      <c r="N237" s="283"/>
      <c r="O237" s="283"/>
    </row>
    <row r="238" spans="2:15">
      <c r="B238" s="173" t="str">
        <f ca="1"/>
        <v>Connetquot Central School District</v>
      </c>
      <c r="C238" s="175">
        <f>IF(COUNTIF(CONTROL!$B$52:$B$101,'Funding by District'!D134)&gt;=1,"",ROW()-104)</f>
        <v>134</v>
      </c>
      <c r="F238" s="39"/>
      <c r="G238" s="39"/>
      <c r="N238" s="283"/>
      <c r="O238" s="283"/>
    </row>
    <row r="239" spans="2:15">
      <c r="B239" s="173" t="str">
        <f ca="1"/>
        <v>Cooperstown Central School District</v>
      </c>
      <c r="C239" s="175">
        <f>IF(COUNTIF(CONTROL!$B$52:$B$101,'Funding by District'!D135)&gt;=1,"",ROW()-104)</f>
        <v>135</v>
      </c>
      <c r="F239" s="39"/>
      <c r="G239" s="39"/>
      <c r="N239" s="283"/>
      <c r="O239" s="283"/>
    </row>
    <row r="240" spans="2:15">
      <c r="B240" s="173" t="str">
        <f ca="1"/>
        <v>Copenhagen Central School District</v>
      </c>
      <c r="C240" s="175">
        <f>IF(COUNTIF(CONTROL!$B$52:$B$101,'Funding by District'!D136)&gt;=1,"",ROW()-104)</f>
        <v>136</v>
      </c>
      <c r="F240" s="39"/>
      <c r="G240" s="39"/>
      <c r="N240" s="283"/>
      <c r="O240" s="283"/>
    </row>
    <row r="241" spans="2:15">
      <c r="B241" s="173" t="str">
        <f ca="1"/>
        <v>Copiague Union Free School District</v>
      </c>
      <c r="C241" s="175">
        <f>IF(COUNTIF(CONTROL!$B$52:$B$101,'Funding by District'!D137)&gt;=1,"",ROW()-104)</f>
        <v>137</v>
      </c>
      <c r="F241" s="39"/>
      <c r="G241" s="39"/>
      <c r="N241" s="283"/>
      <c r="O241" s="283"/>
    </row>
    <row r="242" spans="2:15">
      <c r="B242" s="173" t="str">
        <f ca="1"/>
        <v>Corinth Central School District</v>
      </c>
      <c r="C242" s="175">
        <f>IF(COUNTIF(CONTROL!$B$52:$B$101,'Funding by District'!D138)&gt;=1,"",ROW()-104)</f>
        <v>138</v>
      </c>
      <c r="F242" s="39"/>
      <c r="G242" s="39"/>
      <c r="N242" s="283"/>
      <c r="O242" s="283"/>
    </row>
    <row r="243" spans="2:15">
      <c r="B243" s="173" t="str">
        <f ca="1"/>
        <v>Corning City School District</v>
      </c>
      <c r="C243" s="175">
        <f>IF(COUNTIF(CONTROL!$B$52:$B$101,'Funding by District'!D139)&gt;=1,"",ROW()-104)</f>
        <v>139</v>
      </c>
      <c r="F243" s="39"/>
      <c r="G243" s="39"/>
      <c r="N243" s="283"/>
      <c r="O243" s="283"/>
    </row>
    <row r="244" spans="2:15">
      <c r="B244" s="173" t="str">
        <f ca="1"/>
        <v>Cornwall Central School District</v>
      </c>
      <c r="C244" s="175">
        <f>IF(COUNTIF(CONTROL!$B$52:$B$101,'Funding by District'!D140)&gt;=1,"",ROW()-104)</f>
        <v>140</v>
      </c>
      <c r="F244" s="39"/>
      <c r="G244" s="39"/>
      <c r="N244" s="283"/>
      <c r="O244" s="283"/>
    </row>
    <row r="245" spans="2:15">
      <c r="B245" s="173" t="str">
        <f ca="1"/>
        <v>Cortland City School District</v>
      </c>
      <c r="C245" s="175">
        <f>IF(COUNTIF(CONTROL!$B$52:$B$101,'Funding by District'!D141)&gt;=1,"",ROW()-104)</f>
        <v>141</v>
      </c>
      <c r="F245" s="39"/>
      <c r="G245" s="39"/>
      <c r="N245" s="283"/>
      <c r="O245" s="283"/>
    </row>
    <row r="246" spans="2:15">
      <c r="B246" s="173" t="str">
        <f ca="1"/>
        <v>Coxsackie-Athens Central School District</v>
      </c>
      <c r="C246" s="175">
        <f>IF(COUNTIF(CONTROL!$B$52:$B$101,'Funding by District'!D142)&gt;=1,"",ROW()-104)</f>
        <v>142</v>
      </c>
      <c r="F246" s="39"/>
      <c r="G246" s="39"/>
      <c r="N246" s="283"/>
      <c r="O246" s="283"/>
    </row>
    <row r="247" spans="2:15">
      <c r="B247" s="173" t="str">
        <f ca="1"/>
        <v>Croton-Harmon Union Free School District</v>
      </c>
      <c r="C247" s="175">
        <f>IF(COUNTIF(CONTROL!$B$52:$B$101,'Funding by District'!D143)&gt;=1,"",ROW()-104)</f>
        <v>143</v>
      </c>
      <c r="F247" s="39"/>
      <c r="G247" s="39"/>
      <c r="N247" s="283"/>
      <c r="O247" s="283"/>
    </row>
    <row r="248" spans="2:15">
      <c r="B248" s="173" t="str">
        <f ca="1"/>
        <v>Crown Point Central School District</v>
      </c>
      <c r="C248" s="175">
        <f>IF(COUNTIF(CONTROL!$B$52:$B$101,'Funding by District'!D144)&gt;=1,"",ROW()-104)</f>
        <v>144</v>
      </c>
      <c r="F248" s="39"/>
      <c r="G248" s="39"/>
      <c r="N248" s="283"/>
      <c r="O248" s="283"/>
    </row>
    <row r="249" spans="2:15">
      <c r="B249" s="173" t="str">
        <f ca="1"/>
        <v>Cuba-Rushford Central School District</v>
      </c>
      <c r="C249" s="175">
        <f>IF(COUNTIF(CONTROL!$B$52:$B$101,'Funding by District'!D145)&gt;=1,"",ROW()-104)</f>
        <v>145</v>
      </c>
      <c r="F249" s="39"/>
      <c r="G249" s="39"/>
      <c r="N249" s="283"/>
      <c r="O249" s="283"/>
    </row>
    <row r="250" spans="2:15">
      <c r="B250" s="173" t="str">
        <f ca="1"/>
        <v>Dansville Central School District</v>
      </c>
      <c r="C250" s="175">
        <f>IF(COUNTIF(CONTROL!$B$52:$B$101,'Funding by District'!D146)&gt;=1,"",ROW()-104)</f>
        <v>146</v>
      </c>
      <c r="F250" s="39"/>
      <c r="G250" s="39"/>
      <c r="N250" s="283"/>
      <c r="O250" s="283"/>
    </row>
    <row r="251" spans="2:15">
      <c r="B251" s="173" t="str">
        <f ca="1"/>
        <v>Deer Park Union Free School District</v>
      </c>
      <c r="C251" s="175">
        <f>IF(COUNTIF(CONTROL!$B$52:$B$101,'Funding by District'!D147)&gt;=1,"",ROW()-104)</f>
        <v>147</v>
      </c>
      <c r="F251" s="39"/>
      <c r="G251" s="39"/>
      <c r="N251" s="283"/>
      <c r="O251" s="283"/>
    </row>
    <row r="252" spans="2:15">
      <c r="B252" s="173" t="str">
        <f ca="1"/>
        <v>Delhi Central School District</v>
      </c>
      <c r="C252" s="175">
        <f>IF(COUNTIF(CONTROL!$B$52:$B$101,'Funding by District'!D148)&gt;=1,"",ROW()-104)</f>
        <v>148</v>
      </c>
      <c r="F252" s="39"/>
      <c r="G252" s="39"/>
      <c r="N252" s="283"/>
      <c r="O252" s="283"/>
    </row>
    <row r="253" spans="2:15">
      <c r="B253" s="173" t="str">
        <f ca="1"/>
        <v>Depew Union Free School District</v>
      </c>
      <c r="C253" s="175">
        <f>IF(COUNTIF(CONTROL!$B$52:$B$101,'Funding by District'!D149)&gt;=1,"",ROW()-104)</f>
        <v>149</v>
      </c>
      <c r="F253" s="39"/>
      <c r="G253" s="39"/>
      <c r="N253" s="283"/>
      <c r="O253" s="283"/>
    </row>
    <row r="254" spans="2:15">
      <c r="B254" s="173" t="str">
        <f ca="1"/>
        <v>Deposit Central School District</v>
      </c>
      <c r="C254" s="175">
        <f>IF(COUNTIF(CONTROL!$B$52:$B$101,'Funding by District'!D150)&gt;=1,"",ROW()-104)</f>
        <v>150</v>
      </c>
      <c r="F254" s="39"/>
      <c r="G254" s="39"/>
      <c r="N254" s="283"/>
      <c r="O254" s="283"/>
    </row>
    <row r="255" spans="2:15">
      <c r="B255" s="173" t="str">
        <f ca="1"/>
        <v>DeRuyter Central School District</v>
      </c>
      <c r="C255" s="175">
        <f>IF(COUNTIF(CONTROL!$B$52:$B$101,'Funding by District'!D151)&gt;=1,"",ROW()-104)</f>
        <v>151</v>
      </c>
      <c r="F255" s="39"/>
      <c r="G255" s="39"/>
      <c r="N255" s="283"/>
      <c r="O255" s="283"/>
    </row>
    <row r="256" spans="2:15">
      <c r="B256" s="173" t="str">
        <f ca="1"/>
        <v>Dobbs Ferry Union Free School District</v>
      </c>
      <c r="C256" s="175">
        <f>IF(COUNTIF(CONTROL!$B$52:$B$101,'Funding by District'!D152)&gt;=1,"",ROW()-104)</f>
        <v>152</v>
      </c>
      <c r="F256" s="39"/>
      <c r="G256" s="39"/>
      <c r="N256" s="283"/>
      <c r="O256" s="283"/>
    </row>
    <row r="257" spans="2:15">
      <c r="B257" s="173" t="str">
        <f ca="1"/>
        <v>Dolgeville Central School District</v>
      </c>
      <c r="C257" s="175">
        <f>IF(COUNTIF(CONTROL!$B$52:$B$101,'Funding by District'!D153)&gt;=1,"",ROW()-104)</f>
        <v>153</v>
      </c>
      <c r="F257" s="39"/>
      <c r="G257" s="39"/>
      <c r="N257" s="283"/>
      <c r="O257" s="283"/>
    </row>
    <row r="258" spans="2:15">
      <c r="B258" s="173" t="str">
        <f ca="1"/>
        <v>Dover Union Free School District</v>
      </c>
      <c r="C258" s="175">
        <f>IF(COUNTIF(CONTROL!$B$52:$B$101,'Funding by District'!D154)&gt;=1,"",ROW()-104)</f>
        <v>154</v>
      </c>
      <c r="F258" s="39"/>
      <c r="G258" s="39"/>
      <c r="N258" s="283"/>
      <c r="O258" s="283"/>
    </row>
    <row r="259" spans="2:15">
      <c r="B259" s="173" t="str">
        <f ca="1"/>
        <v>Downsville Central School District</v>
      </c>
      <c r="C259" s="175">
        <f>IF(COUNTIF(CONTROL!$B$52:$B$101,'Funding by District'!D155)&gt;=1,"",ROW()-104)</f>
        <v>155</v>
      </c>
      <c r="F259" s="39"/>
      <c r="G259" s="39"/>
      <c r="N259" s="283"/>
      <c r="O259" s="283"/>
    </row>
    <row r="260" spans="2:15">
      <c r="B260" s="173" t="str">
        <f ca="1"/>
        <v>Dryden Central School District</v>
      </c>
      <c r="C260" s="175">
        <f>IF(COUNTIF(CONTROL!$B$52:$B$101,'Funding by District'!D156)&gt;=1,"",ROW()-104)</f>
        <v>156</v>
      </c>
      <c r="F260" s="39"/>
      <c r="G260" s="39"/>
      <c r="N260" s="283"/>
      <c r="O260" s="283"/>
    </row>
    <row r="261" spans="2:15">
      <c r="B261" s="173" t="str">
        <f ca="1"/>
        <v>Duanesburg Central School District</v>
      </c>
      <c r="C261" s="175">
        <f>IF(COUNTIF(CONTROL!$B$52:$B$101,'Funding by District'!D157)&gt;=1,"",ROW()-104)</f>
        <v>157</v>
      </c>
      <c r="F261" s="39"/>
      <c r="G261" s="39"/>
      <c r="N261" s="283"/>
      <c r="O261" s="283"/>
    </row>
    <row r="262" spans="2:15">
      <c r="B262" s="173" t="str">
        <f ca="1"/>
        <v>Dundee Central School District</v>
      </c>
      <c r="C262" s="175">
        <f>IF(COUNTIF(CONTROL!$B$52:$B$101,'Funding by District'!D158)&gt;=1,"",ROW()-104)</f>
        <v>158</v>
      </c>
      <c r="F262" s="39"/>
      <c r="G262" s="39"/>
      <c r="N262" s="283"/>
      <c r="O262" s="283"/>
    </row>
    <row r="263" spans="2:15">
      <c r="B263" s="173" t="str">
        <f ca="1"/>
        <v>Dunkirk City School District</v>
      </c>
      <c r="C263" s="175">
        <f>IF(COUNTIF(CONTROL!$B$52:$B$101,'Funding by District'!D159)&gt;=1,"",ROW()-104)</f>
        <v>159</v>
      </c>
      <c r="F263" s="39"/>
      <c r="G263" s="39"/>
      <c r="N263" s="283"/>
      <c r="O263" s="283"/>
    </row>
    <row r="264" spans="2:15">
      <c r="B264" s="173" t="str">
        <f ca="1"/>
        <v>East Aurora Union Free School District</v>
      </c>
      <c r="C264" s="175">
        <f>IF(COUNTIF(CONTROL!$B$52:$B$101,'Funding by District'!D160)&gt;=1,"",ROW()-104)</f>
        <v>160</v>
      </c>
      <c r="F264" s="39"/>
      <c r="G264" s="39"/>
      <c r="N264" s="283"/>
      <c r="O264" s="283"/>
    </row>
    <row r="265" spans="2:15">
      <c r="B265" s="173" t="str">
        <f ca="1"/>
        <v>East Greenbush Central School District</v>
      </c>
      <c r="C265" s="175">
        <f>IF(COUNTIF(CONTROL!$B$52:$B$101,'Funding by District'!D161)&gt;=1,"",ROW()-104)</f>
        <v>161</v>
      </c>
      <c r="F265" s="39"/>
      <c r="G265" s="39"/>
      <c r="N265" s="283"/>
      <c r="O265" s="283"/>
    </row>
    <row r="266" spans="2:15">
      <c r="B266" s="173" t="str">
        <f ca="1"/>
        <v>East Hampton Union Free School District</v>
      </c>
      <c r="C266" s="175">
        <f>IF(COUNTIF(CONTROL!$B$52:$B$101,'Funding by District'!D162)&gt;=1,"",ROW()-104)</f>
        <v>162</v>
      </c>
      <c r="F266" s="39"/>
      <c r="G266" s="39"/>
      <c r="N266" s="283"/>
      <c r="O266" s="283"/>
    </row>
    <row r="267" spans="2:15">
      <c r="B267" s="173" t="str">
        <f ca="1"/>
        <v>East Irondequoit Central School District</v>
      </c>
      <c r="C267" s="175">
        <f>IF(COUNTIF(CONTROL!$B$52:$B$101,'Funding by District'!D163)&gt;=1,"",ROW()-104)</f>
        <v>163</v>
      </c>
      <c r="F267" s="39"/>
      <c r="G267" s="39"/>
      <c r="N267" s="283"/>
      <c r="O267" s="283"/>
    </row>
    <row r="268" spans="2:15">
      <c r="B268" s="173" t="str">
        <f ca="1"/>
        <v>East Islip Union Free School District</v>
      </c>
      <c r="C268" s="175">
        <f>IF(COUNTIF(CONTROL!$B$52:$B$101,'Funding by District'!D164)&gt;=1,"",ROW()-104)</f>
        <v>164</v>
      </c>
      <c r="F268" s="39"/>
      <c r="G268" s="39"/>
      <c r="N268" s="283"/>
      <c r="O268" s="283"/>
    </row>
    <row r="269" spans="2:15">
      <c r="B269" s="173" t="str">
        <f ca="1"/>
        <v>East Meadow Union Free School District</v>
      </c>
      <c r="C269" s="175">
        <f>IF(COUNTIF(CONTROL!$B$52:$B$101,'Funding by District'!D165)&gt;=1,"",ROW()-104)</f>
        <v>165</v>
      </c>
      <c r="F269" s="39"/>
      <c r="G269" s="39"/>
      <c r="N269" s="283"/>
      <c r="O269" s="283"/>
    </row>
    <row r="270" spans="2:15">
      <c r="B270" s="173" t="str">
        <f ca="1"/>
        <v>East Moriches Union Free School District</v>
      </c>
      <c r="C270" s="175">
        <f>IF(COUNTIF(CONTROL!$B$52:$B$101,'Funding by District'!D166)&gt;=1,"",ROW()-104)</f>
        <v>166</v>
      </c>
      <c r="F270" s="39"/>
      <c r="G270" s="39"/>
      <c r="N270" s="283"/>
      <c r="O270" s="283"/>
    </row>
    <row r="271" spans="2:15">
      <c r="B271" s="173" t="str">
        <f ca="1"/>
        <v>East Quogue Union Free School District</v>
      </c>
      <c r="C271" s="175">
        <f>IF(COUNTIF(CONTROL!$B$52:$B$101,'Funding by District'!D167)&gt;=1,"",ROW()-104)</f>
        <v>167</v>
      </c>
      <c r="F271" s="39"/>
      <c r="G271" s="39"/>
      <c r="N271" s="283"/>
      <c r="O271" s="283"/>
    </row>
    <row r="272" spans="2:15">
      <c r="B272" s="173" t="str">
        <f ca="1"/>
        <v>East Ramapo Central School District</v>
      </c>
      <c r="C272" s="175">
        <f>IF(COUNTIF(CONTROL!$B$52:$B$101,'Funding by District'!D168)&gt;=1,"",ROW()-104)</f>
        <v>168</v>
      </c>
      <c r="F272" s="39"/>
      <c r="G272" s="39"/>
      <c r="N272" s="283"/>
      <c r="O272" s="283"/>
    </row>
    <row r="273" spans="2:15">
      <c r="B273" s="173" t="str">
        <f ca="1"/>
        <v>East Rochester Union Free School District</v>
      </c>
      <c r="C273" s="175">
        <f>IF(COUNTIF(CONTROL!$B$52:$B$101,'Funding by District'!D169)&gt;=1,"",ROW()-104)</f>
        <v>169</v>
      </c>
      <c r="F273" s="39"/>
      <c r="G273" s="39"/>
      <c r="N273" s="283"/>
      <c r="O273" s="283"/>
    </row>
    <row r="274" spans="2:15">
      <c r="B274" s="173" t="str">
        <f ca="1"/>
        <v>East Rockaway Union Free School District</v>
      </c>
      <c r="C274" s="175">
        <f>IF(COUNTIF(CONTROL!$B$52:$B$101,'Funding by District'!D170)&gt;=1,"",ROW()-104)</f>
        <v>170</v>
      </c>
      <c r="F274" s="39"/>
      <c r="G274" s="39"/>
      <c r="N274" s="283"/>
      <c r="O274" s="283"/>
    </row>
    <row r="275" spans="2:15">
      <c r="B275" s="173" t="str">
        <f ca="1"/>
        <v>East Syracuse-Minoa Central School District</v>
      </c>
      <c r="C275" s="175">
        <f>IF(COUNTIF(CONTROL!$B$52:$B$101,'Funding by District'!D171)&gt;=1,"",ROW()-104)</f>
        <v>171</v>
      </c>
      <c r="F275" s="39"/>
      <c r="G275" s="39"/>
      <c r="N275" s="283"/>
      <c r="O275" s="283"/>
    </row>
    <row r="276" spans="2:15">
      <c r="B276" s="173" t="str">
        <f ca="1"/>
        <v>East Williston Union Free School District</v>
      </c>
      <c r="C276" s="175">
        <f>IF(COUNTIF(CONTROL!$B$52:$B$101,'Funding by District'!D172)&gt;=1,"",ROW()-104)</f>
        <v>172</v>
      </c>
      <c r="F276" s="39"/>
      <c r="G276" s="39"/>
      <c r="N276" s="283"/>
      <c r="O276" s="283"/>
    </row>
    <row r="277" spans="2:15">
      <c r="B277" s="173" t="str">
        <f ca="1"/>
        <v>Eastchester Union Free School District</v>
      </c>
      <c r="C277" s="175">
        <f>IF(COUNTIF(CONTROL!$B$52:$B$101,'Funding by District'!D173)&gt;=1,"",ROW()-104)</f>
        <v>173</v>
      </c>
      <c r="F277" s="39"/>
      <c r="G277" s="39"/>
      <c r="N277" s="283"/>
      <c r="O277" s="283"/>
    </row>
    <row r="278" spans="2:15">
      <c r="B278" s="173" t="str">
        <f ca="1"/>
        <v>Eastport-South Manor Central School District</v>
      </c>
      <c r="C278" s="175">
        <f>IF(COUNTIF(CONTROL!$B$52:$B$101,'Funding by District'!D174)&gt;=1,"",ROW()-104)</f>
        <v>174</v>
      </c>
      <c r="F278" s="39"/>
      <c r="G278" s="39"/>
      <c r="N278" s="283"/>
      <c r="O278" s="283"/>
    </row>
    <row r="279" spans="2:15">
      <c r="B279" s="173" t="str">
        <f ca="1"/>
        <v>Eden Central School District</v>
      </c>
      <c r="C279" s="175">
        <f>IF(COUNTIF(CONTROL!$B$52:$B$101,'Funding by District'!D175)&gt;=1,"",ROW()-104)</f>
        <v>175</v>
      </c>
      <c r="F279" s="39"/>
      <c r="G279" s="39"/>
      <c r="N279" s="283"/>
      <c r="O279" s="283"/>
    </row>
    <row r="280" spans="2:15">
      <c r="B280" s="173" t="str">
        <f ca="1"/>
        <v>Edgemont Union Free School District</v>
      </c>
      <c r="C280" s="175">
        <f>IF(COUNTIF(CONTROL!$B$52:$B$101,'Funding by District'!D176)&gt;=1,"",ROW()-104)</f>
        <v>176</v>
      </c>
      <c r="F280" s="39"/>
      <c r="G280" s="39"/>
      <c r="N280" s="283"/>
      <c r="O280" s="283"/>
    </row>
    <row r="281" spans="2:15">
      <c r="B281" s="173" t="str">
        <f ca="1"/>
        <v>Edinburg Common School District</v>
      </c>
      <c r="C281" s="175">
        <f>IF(COUNTIF(CONTROL!$B$52:$B$101,'Funding by District'!D177)&gt;=1,"",ROW()-104)</f>
        <v>177</v>
      </c>
      <c r="F281" s="39"/>
      <c r="G281" s="39"/>
      <c r="N281" s="283"/>
      <c r="O281" s="283"/>
    </row>
    <row r="282" spans="2:15">
      <c r="B282" s="173" t="str">
        <f ca="1"/>
        <v>Edmeston Central School District</v>
      </c>
      <c r="C282" s="175">
        <f>IF(COUNTIF(CONTROL!$B$52:$B$101,'Funding by District'!D178)&gt;=1,"",ROW()-104)</f>
        <v>178</v>
      </c>
      <c r="F282" s="39"/>
      <c r="G282" s="39"/>
      <c r="N282" s="283"/>
      <c r="O282" s="283"/>
    </row>
    <row r="283" spans="2:15">
      <c r="B283" s="173" t="str">
        <f ca="1"/>
        <v>Edwards-Knox Central School District</v>
      </c>
      <c r="C283" s="175">
        <f>IF(COUNTIF(CONTROL!$B$52:$B$101,'Funding by District'!D179)&gt;=1,"",ROW()-104)</f>
        <v>179</v>
      </c>
      <c r="F283" s="39"/>
      <c r="G283" s="39"/>
      <c r="N283" s="283"/>
      <c r="O283" s="283"/>
    </row>
    <row r="284" spans="2:15">
      <c r="B284" s="173" t="str">
        <f ca="1"/>
        <v>Elba Central School District</v>
      </c>
      <c r="C284" s="175">
        <f>IF(COUNTIF(CONTROL!$B$52:$B$101,'Funding by District'!D180)&gt;=1,"",ROW()-104)</f>
        <v>180</v>
      </c>
      <c r="F284" s="39"/>
      <c r="G284" s="39"/>
      <c r="N284" s="283"/>
      <c r="O284" s="283"/>
    </row>
    <row r="285" spans="2:15">
      <c r="B285" s="173" t="str">
        <f ca="1"/>
        <v>Eldred Central School District</v>
      </c>
      <c r="C285" s="175">
        <f>IF(COUNTIF(CONTROL!$B$52:$B$101,'Funding by District'!D181)&gt;=1,"",ROW()-104)</f>
        <v>181</v>
      </c>
      <c r="F285" s="39"/>
      <c r="G285" s="39"/>
      <c r="N285" s="283"/>
      <c r="O285" s="283"/>
    </row>
    <row r="286" spans="2:15">
      <c r="B286" s="173" t="str">
        <f ca="1"/>
        <v>Ellenville Central School District</v>
      </c>
      <c r="C286" s="175">
        <f>IF(COUNTIF(CONTROL!$B$52:$B$101,'Funding by District'!D182)&gt;=1,"",ROW()-104)</f>
        <v>182</v>
      </c>
      <c r="F286" s="39"/>
      <c r="G286" s="39"/>
      <c r="N286" s="283"/>
      <c r="O286" s="283"/>
    </row>
    <row r="287" spans="2:15">
      <c r="B287" s="173" t="str">
        <f ca="1"/>
        <v>Ellicottville Central School District</v>
      </c>
      <c r="C287" s="175">
        <f>IF(COUNTIF(CONTROL!$B$52:$B$101,'Funding by District'!D183)&gt;=1,"",ROW()-104)</f>
        <v>183</v>
      </c>
      <c r="F287" s="39"/>
      <c r="G287" s="39"/>
      <c r="N287" s="283"/>
      <c r="O287" s="283"/>
    </row>
    <row r="288" spans="2:15">
      <c r="B288" s="173" t="str">
        <f ca="1"/>
        <v>Elmira City School District</v>
      </c>
      <c r="C288" s="175">
        <f>IF(COUNTIF(CONTROL!$B$52:$B$101,'Funding by District'!D184)&gt;=1,"",ROW()-104)</f>
        <v>184</v>
      </c>
      <c r="F288" s="39"/>
      <c r="G288" s="39"/>
      <c r="N288" s="283"/>
      <c r="O288" s="283"/>
    </row>
    <row r="289" spans="2:15">
      <c r="B289" s="173" t="str">
        <f ca="1"/>
        <v>Elmira Heights Central School District</v>
      </c>
      <c r="C289" s="175">
        <f>IF(COUNTIF(CONTROL!$B$52:$B$101,'Funding by District'!D185)&gt;=1,"",ROW()-104)</f>
        <v>185</v>
      </c>
      <c r="F289" s="39"/>
      <c r="G289" s="39"/>
      <c r="N289" s="283"/>
      <c r="O289" s="283"/>
    </row>
    <row r="290" spans="2:15">
      <c r="B290" s="173" t="str">
        <f ca="1"/>
        <v>Elmont Union Free School District</v>
      </c>
      <c r="C290" s="175">
        <f>IF(COUNTIF(CONTROL!$B$52:$B$101,'Funding by District'!D186)&gt;=1,"",ROW()-104)</f>
        <v>186</v>
      </c>
      <c r="F290" s="39"/>
      <c r="G290" s="39"/>
      <c r="N290" s="283"/>
      <c r="O290" s="283"/>
    </row>
    <row r="291" spans="2:15">
      <c r="B291" s="173" t="str">
        <f ca="1"/>
        <v>Elmsford Union Free School District</v>
      </c>
      <c r="C291" s="175">
        <f>IF(COUNTIF(CONTROL!$B$52:$B$101,'Funding by District'!D187)&gt;=1,"",ROW()-104)</f>
        <v>187</v>
      </c>
      <c r="F291" s="39"/>
      <c r="G291" s="39"/>
      <c r="N291" s="283"/>
      <c r="O291" s="283"/>
    </row>
    <row r="292" spans="2:15">
      <c r="B292" s="173" t="str">
        <f ca="1"/>
        <v>Elwood Union Free School District</v>
      </c>
      <c r="C292" s="175">
        <f>IF(COUNTIF(CONTROL!$B$52:$B$101,'Funding by District'!D188)&gt;=1,"",ROW()-104)</f>
        <v>188</v>
      </c>
      <c r="F292" s="39"/>
      <c r="G292" s="39"/>
      <c r="N292" s="283"/>
      <c r="O292" s="283"/>
    </row>
    <row r="293" spans="2:15">
      <c r="B293" s="173" t="str">
        <f ca="1"/>
        <v>Fabius-Pompey Central School District</v>
      </c>
      <c r="C293" s="175">
        <f>IF(COUNTIF(CONTROL!$B$52:$B$101,'Funding by District'!D189)&gt;=1,"",ROW()-104)</f>
        <v>189</v>
      </c>
      <c r="F293" s="39"/>
      <c r="G293" s="39"/>
      <c r="N293" s="283"/>
      <c r="O293" s="283"/>
    </row>
    <row r="294" spans="2:15">
      <c r="B294" s="173" t="str">
        <f ca="1"/>
        <v>Fairport Central School District</v>
      </c>
      <c r="C294" s="175">
        <f>IF(COUNTIF(CONTROL!$B$52:$B$101,'Funding by District'!D190)&gt;=1,"",ROW()-104)</f>
        <v>190</v>
      </c>
      <c r="F294" s="39"/>
      <c r="G294" s="39"/>
      <c r="N294" s="283"/>
      <c r="O294" s="283"/>
    </row>
    <row r="295" spans="2:15">
      <c r="B295" s="173" t="str">
        <f ca="1"/>
        <v>Falconer Central School District</v>
      </c>
      <c r="C295" s="175">
        <f>IF(COUNTIF(CONTROL!$B$52:$B$101,'Funding by District'!D191)&gt;=1,"",ROW()-104)</f>
        <v>191</v>
      </c>
      <c r="F295" s="39"/>
      <c r="G295" s="39"/>
      <c r="N295" s="283"/>
      <c r="O295" s="283"/>
    </row>
    <row r="296" spans="2:15">
      <c r="B296" s="173" t="str">
        <f ca="1"/>
        <v>Fallsburg Central School District</v>
      </c>
      <c r="C296" s="175">
        <f>IF(COUNTIF(CONTROL!$B$52:$B$101,'Funding by District'!D192)&gt;=1,"",ROW()-104)</f>
        <v>192</v>
      </c>
      <c r="F296" s="39"/>
      <c r="G296" s="39"/>
      <c r="N296" s="283"/>
      <c r="O296" s="283"/>
    </row>
    <row r="297" spans="2:15">
      <c r="B297" s="173" t="str">
        <f ca="1"/>
        <v>Farmingdale Union Free School District</v>
      </c>
      <c r="C297" s="175">
        <f>IF(COUNTIF(CONTROL!$B$52:$B$101,'Funding by District'!D193)&gt;=1,"",ROW()-104)</f>
        <v>193</v>
      </c>
      <c r="F297" s="39"/>
      <c r="G297" s="39"/>
      <c r="N297" s="283"/>
      <c r="O297" s="283"/>
    </row>
    <row r="298" spans="2:15">
      <c r="B298" s="173" t="str">
        <f ca="1"/>
        <v>Fayetteville-Manlius Central School District</v>
      </c>
      <c r="C298" s="175">
        <f>IF(COUNTIF(CONTROL!$B$52:$B$101,'Funding by District'!D194)&gt;=1,"",ROW()-104)</f>
        <v>194</v>
      </c>
      <c r="F298" s="39"/>
      <c r="G298" s="39"/>
      <c r="N298" s="283"/>
      <c r="O298" s="283"/>
    </row>
    <row r="299" spans="2:15">
      <c r="B299" s="173" t="str">
        <f ca="1"/>
        <v>Fillmore Central School District</v>
      </c>
      <c r="C299" s="175">
        <f>IF(COUNTIF(CONTROL!$B$52:$B$101,'Funding by District'!D195)&gt;=1,"",ROW()-104)</f>
        <v>195</v>
      </c>
      <c r="F299" s="39"/>
      <c r="G299" s="39"/>
      <c r="N299" s="283"/>
      <c r="O299" s="283"/>
    </row>
    <row r="300" spans="2:15">
      <c r="B300" s="173" t="str">
        <f ca="1"/>
        <v>Fire Island Union Free School District</v>
      </c>
      <c r="C300" s="175">
        <f>IF(COUNTIF(CONTROL!$B$52:$B$101,'Funding by District'!D196)&gt;=1,"",ROW()-104)</f>
        <v>196</v>
      </c>
      <c r="F300" s="39"/>
      <c r="G300" s="39"/>
      <c r="N300" s="283"/>
      <c r="O300" s="283"/>
    </row>
    <row r="301" spans="2:15">
      <c r="B301" s="173" t="str">
        <f ca="1"/>
        <v>Fishers Island Union Free School District</v>
      </c>
      <c r="C301" s="175">
        <f>IF(COUNTIF(CONTROL!$B$52:$B$101,'Funding by District'!D197)&gt;=1,"",ROW()-104)</f>
        <v>197</v>
      </c>
      <c r="F301" s="39"/>
      <c r="G301" s="39"/>
      <c r="N301" s="283"/>
      <c r="O301" s="283"/>
    </row>
    <row r="302" spans="2:15">
      <c r="B302" s="173" t="str">
        <f ca="1"/>
        <v>Floral Park-Bellerose Union Free School District</v>
      </c>
      <c r="C302" s="175">
        <f>IF(COUNTIF(CONTROL!$B$52:$B$101,'Funding by District'!D198)&gt;=1,"",ROW()-104)</f>
        <v>198</v>
      </c>
      <c r="F302" s="39"/>
      <c r="G302" s="39"/>
      <c r="N302" s="283"/>
      <c r="O302" s="283"/>
    </row>
    <row r="303" spans="2:15">
      <c r="B303" s="173" t="str">
        <f ca="1"/>
        <v>Florida Union Free School District</v>
      </c>
      <c r="C303" s="175">
        <f>IF(COUNTIF(CONTROL!$B$52:$B$101,'Funding by District'!D199)&gt;=1,"",ROW()-104)</f>
        <v>199</v>
      </c>
      <c r="G303" s="39"/>
      <c r="N303" s="283"/>
      <c r="O303" s="283"/>
    </row>
    <row r="304" spans="2:15">
      <c r="B304" s="173" t="str">
        <f ca="1"/>
        <v>Fonda-Fultonville Central School District</v>
      </c>
      <c r="C304" s="175">
        <f>IF(COUNTIF(CONTROL!$B$52:$B$101,'Funding by District'!D200)&gt;=1,"",ROW()-104)</f>
        <v>200</v>
      </c>
      <c r="G304" s="39"/>
      <c r="N304" s="283"/>
      <c r="O304" s="283"/>
    </row>
    <row r="305" spans="2:15">
      <c r="B305" s="173" t="str">
        <f ca="1"/>
        <v>Forestville Central School District</v>
      </c>
      <c r="C305" s="175">
        <f>IF(COUNTIF(CONTROL!$B$52:$B$101,'Funding by District'!D201)&gt;=1,"",ROW()-104)</f>
        <v>201</v>
      </c>
      <c r="G305" s="39"/>
      <c r="N305" s="283"/>
      <c r="O305" s="283"/>
    </row>
    <row r="306" spans="2:15">
      <c r="B306" s="173" t="str">
        <f ca="1"/>
        <v>Fort Ann Central School District</v>
      </c>
      <c r="C306" s="175">
        <f>IF(COUNTIF(CONTROL!$B$52:$B$101,'Funding by District'!D202)&gt;=1,"",ROW()-104)</f>
        <v>202</v>
      </c>
      <c r="G306" s="39"/>
      <c r="N306" s="283"/>
      <c r="O306" s="283"/>
    </row>
    <row r="307" spans="2:15">
      <c r="B307" s="173" t="str">
        <f ca="1"/>
        <v>Fort Edward Union Free School District</v>
      </c>
      <c r="C307" s="175">
        <f>IF(COUNTIF(CONTROL!$B$52:$B$101,'Funding by District'!D203)&gt;=1,"",ROW()-104)</f>
        <v>203</v>
      </c>
      <c r="G307" s="39"/>
      <c r="N307" s="283"/>
      <c r="O307" s="283"/>
    </row>
    <row r="308" spans="2:15">
      <c r="B308" s="173" t="str">
        <f ca="1"/>
        <v>Fort Plain Central School District</v>
      </c>
      <c r="C308" s="175">
        <f>IF(COUNTIF(CONTROL!$B$52:$B$101,'Funding by District'!D204)&gt;=1,"",ROW()-104)</f>
        <v>204</v>
      </c>
      <c r="G308" s="39"/>
      <c r="N308" s="283"/>
      <c r="O308" s="283"/>
    </row>
    <row r="309" spans="2:15">
      <c r="B309" s="173" t="str">
        <f ca="1"/>
        <v>Frankfort-Schuyler Central School District</v>
      </c>
      <c r="C309" s="175">
        <f>IF(COUNTIF(CONTROL!$B$52:$B$101,'Funding by District'!D205)&gt;=1,"",ROW()-104)</f>
        <v>205</v>
      </c>
      <c r="G309" s="39"/>
      <c r="N309" s="283"/>
      <c r="O309" s="283"/>
    </row>
    <row r="310" spans="2:15">
      <c r="B310" s="173" t="str">
        <f ca="1"/>
        <v>Franklin Central School District</v>
      </c>
      <c r="C310" s="175">
        <f>IF(COUNTIF(CONTROL!$B$52:$B$101,'Funding by District'!D206)&gt;=1,"",ROW()-104)</f>
        <v>206</v>
      </c>
      <c r="G310" s="39"/>
      <c r="N310" s="283"/>
      <c r="O310" s="283"/>
    </row>
    <row r="311" spans="2:15">
      <c r="B311" s="173" t="str">
        <f ca="1"/>
        <v>Franklin Square Union Free School District</v>
      </c>
      <c r="C311" s="175">
        <f>IF(COUNTIF(CONTROL!$B$52:$B$101,'Funding by District'!D207)&gt;=1,"",ROW()-104)</f>
        <v>207</v>
      </c>
      <c r="G311" s="39"/>
      <c r="N311" s="283"/>
      <c r="O311" s="283"/>
    </row>
    <row r="312" spans="2:15">
      <c r="B312" s="173" t="str">
        <f ca="1"/>
        <v>Franklinville Central School District</v>
      </c>
      <c r="C312" s="175">
        <f>IF(COUNTIF(CONTROL!$B$52:$B$101,'Funding by District'!D208)&gt;=1,"",ROW()-104)</f>
        <v>208</v>
      </c>
      <c r="G312" s="39"/>
      <c r="N312" s="283"/>
      <c r="O312" s="283"/>
    </row>
    <row r="313" spans="2:15">
      <c r="B313" s="173" t="str">
        <f ca="1"/>
        <v>Fredonia Central School District</v>
      </c>
      <c r="C313" s="175">
        <f>IF(COUNTIF(CONTROL!$B$52:$B$101,'Funding by District'!D209)&gt;=1,"",ROW()-104)</f>
        <v>209</v>
      </c>
      <c r="G313" s="39"/>
      <c r="N313" s="283"/>
      <c r="O313" s="283"/>
    </row>
    <row r="314" spans="2:15">
      <c r="B314" s="173" t="str">
        <f ca="1"/>
        <v>Freeport Union Free School District</v>
      </c>
      <c r="C314" s="175">
        <f>IF(COUNTIF(CONTROL!$B$52:$B$101,'Funding by District'!D210)&gt;=1,"",ROW()-104)</f>
        <v>210</v>
      </c>
      <c r="G314" s="39"/>
      <c r="N314" s="283"/>
      <c r="O314" s="283"/>
    </row>
    <row r="315" spans="2:15">
      <c r="B315" s="173" t="str">
        <f ca="1"/>
        <v>Frewsburg Central School District</v>
      </c>
      <c r="C315" s="175">
        <f>IF(COUNTIF(CONTROL!$B$52:$B$101,'Funding by District'!D211)&gt;=1,"",ROW()-104)</f>
        <v>211</v>
      </c>
      <c r="G315" s="39"/>
      <c r="N315" s="283"/>
      <c r="O315" s="283"/>
    </row>
    <row r="316" spans="2:15">
      <c r="B316" s="173" t="str">
        <f ca="1"/>
        <v>Friendship Central School District</v>
      </c>
      <c r="C316" s="175">
        <f>IF(COUNTIF(CONTROL!$B$52:$B$101,'Funding by District'!D212)&gt;=1,"",ROW()-104)</f>
        <v>212</v>
      </c>
      <c r="G316" s="39"/>
      <c r="N316" s="283"/>
      <c r="O316" s="283"/>
    </row>
    <row r="317" spans="2:15">
      <c r="B317" s="173" t="str">
        <f ca="1"/>
        <v>Frontier Central School District</v>
      </c>
      <c r="C317" s="175">
        <f>IF(COUNTIF(CONTROL!$B$52:$B$101,'Funding by District'!D213)&gt;=1,"",ROW()-104)</f>
        <v>213</v>
      </c>
      <c r="G317" s="39"/>
      <c r="N317" s="283"/>
      <c r="O317" s="283"/>
    </row>
    <row r="318" spans="2:15">
      <c r="B318" s="173" t="str">
        <f ca="1"/>
        <v>Fulton City School District</v>
      </c>
      <c r="C318" s="175">
        <f>IF(COUNTIF(CONTROL!$B$52:$B$101,'Funding by District'!D214)&gt;=1,"",ROW()-104)</f>
        <v>214</v>
      </c>
      <c r="G318" s="39"/>
      <c r="N318" s="283"/>
      <c r="O318" s="283"/>
    </row>
    <row r="319" spans="2:15">
      <c r="B319" s="173" t="str">
        <f ca="1"/>
        <v>Galway Central School District</v>
      </c>
      <c r="C319" s="175">
        <f>IF(COUNTIF(CONTROL!$B$52:$B$101,'Funding by District'!D215)&gt;=1,"",ROW()-104)</f>
        <v>215</v>
      </c>
      <c r="G319" s="39"/>
      <c r="N319" s="283"/>
      <c r="O319" s="283"/>
    </row>
    <row r="320" spans="2:15">
      <c r="B320" s="173" t="str">
        <f ca="1"/>
        <v>Gananda Central School District</v>
      </c>
      <c r="C320" s="175">
        <f>IF(COUNTIF(CONTROL!$B$52:$B$101,'Funding by District'!D216)&gt;=1,"",ROW()-104)</f>
        <v>216</v>
      </c>
      <c r="G320" s="39"/>
      <c r="N320" s="283"/>
      <c r="O320" s="283"/>
    </row>
    <row r="321" spans="2:15">
      <c r="B321" s="173" t="str">
        <f ca="1"/>
        <v>Garden City Union Free School District</v>
      </c>
      <c r="C321" s="175">
        <f>IF(COUNTIF(CONTROL!$B$52:$B$101,'Funding by District'!D217)&gt;=1,"",ROW()-104)</f>
        <v>217</v>
      </c>
      <c r="G321" s="39"/>
      <c r="N321" s="283"/>
      <c r="O321" s="283"/>
    </row>
    <row r="322" spans="2:15">
      <c r="B322" s="173" t="str">
        <f ca="1"/>
        <v>Garrison Union Free School District</v>
      </c>
      <c r="C322" s="175">
        <f>IF(COUNTIF(CONTROL!$B$52:$B$101,'Funding by District'!D218)&gt;=1,"",ROW()-104)</f>
        <v>218</v>
      </c>
      <c r="G322" s="39"/>
      <c r="N322" s="283"/>
      <c r="O322" s="283"/>
    </row>
    <row r="323" spans="2:15">
      <c r="B323" s="173" t="str">
        <f ca="1"/>
        <v>Gates-Chili Central School District</v>
      </c>
      <c r="C323" s="175">
        <f>IF(COUNTIF(CONTROL!$B$52:$B$101,'Funding by District'!D219)&gt;=1,"",ROW()-104)</f>
        <v>219</v>
      </c>
      <c r="G323" s="39"/>
      <c r="N323" s="283"/>
      <c r="O323" s="283"/>
    </row>
    <row r="324" spans="2:15">
      <c r="B324" s="173" t="str">
        <f ca="1"/>
        <v>General Brown Central School District</v>
      </c>
      <c r="C324" s="175">
        <f>IF(COUNTIF(CONTROL!$B$52:$B$101,'Funding by District'!D220)&gt;=1,"",ROW()-104)</f>
        <v>220</v>
      </c>
      <c r="G324" s="39"/>
      <c r="N324" s="283"/>
      <c r="O324" s="283"/>
    </row>
    <row r="325" spans="2:15">
      <c r="B325" s="173" t="str">
        <f ca="1"/>
        <v>Genesee Valley Central School District</v>
      </c>
      <c r="C325" s="175">
        <f>IF(COUNTIF(CONTROL!$B$52:$B$101,'Funding by District'!D221)&gt;=1,"",ROW()-104)</f>
        <v>221</v>
      </c>
      <c r="G325" s="39"/>
      <c r="N325" s="283"/>
      <c r="O325" s="283"/>
    </row>
    <row r="326" spans="2:15">
      <c r="B326" s="173" t="str">
        <f ca="1"/>
        <v>Geneseo Central School District</v>
      </c>
      <c r="C326" s="175">
        <f>IF(COUNTIF(CONTROL!$B$52:$B$101,'Funding by District'!D222)&gt;=1,"",ROW()-104)</f>
        <v>222</v>
      </c>
      <c r="G326" s="39"/>
      <c r="N326" s="283"/>
      <c r="O326" s="283"/>
    </row>
    <row r="327" spans="2:15">
      <c r="B327" s="173" t="str">
        <f ca="1"/>
        <v>Geneva City School District</v>
      </c>
      <c r="C327" s="175">
        <f>IF(COUNTIF(CONTROL!$B$52:$B$101,'Funding by District'!D223)&gt;=1,"",ROW()-104)</f>
        <v>223</v>
      </c>
      <c r="G327" s="39"/>
      <c r="N327" s="283"/>
      <c r="O327" s="283"/>
    </row>
    <row r="328" spans="2:15">
      <c r="B328" s="173" t="str">
        <f ca="1"/>
        <v>Germantown Central School District</v>
      </c>
      <c r="C328" s="175">
        <f>IF(COUNTIF(CONTROL!$B$52:$B$101,'Funding by District'!D224)&gt;=1,"",ROW()-104)</f>
        <v>224</v>
      </c>
      <c r="G328" s="39"/>
      <c r="N328" s="283"/>
      <c r="O328" s="283"/>
    </row>
    <row r="329" spans="2:15">
      <c r="B329" s="173" t="str">
        <f ca="1"/>
        <v>Gilbertsville-Mount Upton Central School District</v>
      </c>
      <c r="C329" s="175">
        <f>IF(COUNTIF(CONTROL!$B$52:$B$101,'Funding by District'!D225)&gt;=1,"",ROW()-104)</f>
        <v>225</v>
      </c>
      <c r="G329" s="39"/>
      <c r="N329" s="283"/>
      <c r="O329" s="283"/>
    </row>
    <row r="330" spans="2:15">
      <c r="B330" s="173" t="str">
        <f ca="1"/>
        <v>Gilboa-Conesville Central School District</v>
      </c>
      <c r="C330" s="175">
        <f>IF(COUNTIF(CONTROL!$B$52:$B$101,'Funding by District'!D226)&gt;=1,"",ROW()-104)</f>
        <v>226</v>
      </c>
      <c r="G330" s="39"/>
      <c r="N330" s="283"/>
      <c r="O330" s="283"/>
    </row>
    <row r="331" spans="2:15">
      <c r="B331" s="173" t="str">
        <f ca="1"/>
        <v>Glen Cove City School District</v>
      </c>
      <c r="C331" s="175">
        <f>IF(COUNTIF(CONTROL!$B$52:$B$101,'Funding by District'!D227)&gt;=1,"",ROW()-104)</f>
        <v>227</v>
      </c>
      <c r="G331" s="39"/>
      <c r="N331" s="283"/>
      <c r="O331" s="283"/>
    </row>
    <row r="332" spans="2:15">
      <c r="B332" s="173" t="str">
        <f ca="1"/>
        <v>Glens Falls City School District</v>
      </c>
      <c r="C332" s="175">
        <f>IF(COUNTIF(CONTROL!$B$52:$B$101,'Funding by District'!D228)&gt;=1,"",ROW()-104)</f>
        <v>228</v>
      </c>
      <c r="G332" s="39"/>
      <c r="N332" s="283"/>
      <c r="O332" s="283"/>
    </row>
    <row r="333" spans="2:15">
      <c r="B333" s="173" t="str">
        <f ca="1"/>
        <v>Gloversville Enlarged City School District</v>
      </c>
      <c r="C333" s="175">
        <f>IF(COUNTIF(CONTROL!$B$52:$B$101,'Funding by District'!D229)&gt;=1,"",ROW()-104)</f>
        <v>229</v>
      </c>
      <c r="G333" s="39"/>
      <c r="N333" s="283"/>
      <c r="O333" s="283"/>
    </row>
    <row r="334" spans="2:15">
      <c r="B334" s="173" t="str">
        <f ca="1"/>
        <v>Goshen Central School District</v>
      </c>
      <c r="C334" s="175">
        <f>IF(COUNTIF(CONTROL!$B$52:$B$101,'Funding by District'!D230)&gt;=1,"",ROW()-104)</f>
        <v>230</v>
      </c>
      <c r="G334" s="39"/>
      <c r="N334" s="283"/>
      <c r="O334" s="283"/>
    </row>
    <row r="335" spans="2:15">
      <c r="B335" s="173" t="str">
        <f ca="1"/>
        <v>Gouverneur Central School District</v>
      </c>
      <c r="C335" s="175">
        <f>IF(COUNTIF(CONTROL!$B$52:$B$101,'Funding by District'!D231)&gt;=1,"",ROW()-104)</f>
        <v>231</v>
      </c>
      <c r="G335" s="39"/>
      <c r="N335" s="283"/>
      <c r="O335" s="283"/>
    </row>
    <row r="336" spans="2:15">
      <c r="B336" s="173" t="str">
        <f ca="1"/>
        <v>Gowanda Central School District</v>
      </c>
      <c r="C336" s="175">
        <f>IF(COUNTIF(CONTROL!$B$52:$B$101,'Funding by District'!D232)&gt;=1,"",ROW()-104)</f>
        <v>232</v>
      </c>
      <c r="G336" s="39"/>
      <c r="N336" s="283"/>
      <c r="O336" s="283"/>
    </row>
    <row r="337" spans="2:15">
      <c r="B337" s="173" t="str">
        <f ca="1"/>
        <v>Grand Island Central School District</v>
      </c>
      <c r="C337" s="175">
        <f>IF(COUNTIF(CONTROL!$B$52:$B$101,'Funding by District'!D233)&gt;=1,"",ROW()-104)</f>
        <v>233</v>
      </c>
      <c r="G337" s="39"/>
      <c r="N337" s="283"/>
      <c r="O337" s="283"/>
    </row>
    <row r="338" spans="2:15">
      <c r="B338" s="173" t="str">
        <f ca="1"/>
        <v>Granville Central School District</v>
      </c>
      <c r="C338" s="175">
        <f>IF(COUNTIF(CONTROL!$B$52:$B$101,'Funding by District'!D234)&gt;=1,"",ROW()-104)</f>
        <v>234</v>
      </c>
      <c r="G338" s="39"/>
      <c r="N338" s="283"/>
      <c r="O338" s="283"/>
    </row>
    <row r="339" spans="2:15">
      <c r="B339" s="173" t="str">
        <f ca="1"/>
        <v>Great Neck Union Free School District</v>
      </c>
      <c r="C339" s="175">
        <f>IF(COUNTIF(CONTROL!$B$52:$B$101,'Funding by District'!D235)&gt;=1,"",ROW()-104)</f>
        <v>235</v>
      </c>
      <c r="G339" s="39"/>
      <c r="N339" s="283"/>
      <c r="O339" s="283"/>
    </row>
    <row r="340" spans="2:15">
      <c r="B340" s="173" t="str">
        <f ca="1"/>
        <v>Greece Central School District</v>
      </c>
      <c r="C340" s="175">
        <f>IF(COUNTIF(CONTROL!$B$52:$B$101,'Funding by District'!D236)&gt;=1,"",ROW()-104)</f>
        <v>236</v>
      </c>
      <c r="G340" s="39"/>
      <c r="N340" s="283"/>
      <c r="O340" s="283"/>
    </row>
    <row r="341" spans="2:15">
      <c r="B341" s="173" t="str">
        <f ca="1"/>
        <v>Green Island Union Free School District</v>
      </c>
      <c r="C341" s="175">
        <f>IF(COUNTIF(CONTROL!$B$52:$B$101,'Funding by District'!D237)&gt;=1,"",ROW()-104)</f>
        <v>237</v>
      </c>
      <c r="G341" s="39"/>
      <c r="N341" s="283"/>
      <c r="O341" s="283"/>
    </row>
    <row r="342" spans="2:15">
      <c r="B342" s="173" t="str">
        <f ca="1"/>
        <v>Greenburgh Central 7 School District</v>
      </c>
      <c r="C342" s="175">
        <f>IF(COUNTIF(CONTROL!$B$52:$B$101,'Funding by District'!D238)&gt;=1,"",ROW()-104)</f>
        <v>238</v>
      </c>
      <c r="G342" s="39"/>
      <c r="N342" s="283"/>
      <c r="O342" s="283"/>
    </row>
    <row r="343" spans="2:15">
      <c r="B343" s="173" t="str">
        <f ca="1"/>
        <v>Greene Central School District</v>
      </c>
      <c r="C343" s="175">
        <f>IF(COUNTIF(CONTROL!$B$52:$B$101,'Funding by District'!D239)&gt;=1,"",ROW()-104)</f>
        <v>239</v>
      </c>
      <c r="G343" s="39"/>
      <c r="N343" s="283"/>
      <c r="O343" s="283"/>
    </row>
    <row r="344" spans="2:15">
      <c r="B344" s="173" t="str">
        <f ca="1"/>
        <v>Greenport Union Free School District</v>
      </c>
      <c r="C344" s="175">
        <f>IF(COUNTIF(CONTROL!$B$52:$B$101,'Funding by District'!D240)&gt;=1,"",ROW()-104)</f>
        <v>240</v>
      </c>
      <c r="G344" s="39"/>
      <c r="N344" s="283"/>
      <c r="O344" s="283"/>
    </row>
    <row r="345" spans="2:15">
      <c r="B345" s="173" t="str">
        <f ca="1"/>
        <v>Greenville Central School District</v>
      </c>
      <c r="C345" s="175">
        <f>IF(COUNTIF(CONTROL!$B$52:$B$101,'Funding by District'!D241)&gt;=1,"",ROW()-104)</f>
        <v>241</v>
      </c>
      <c r="G345" s="39"/>
      <c r="N345" s="283"/>
      <c r="O345" s="283"/>
    </row>
    <row r="346" spans="2:15">
      <c r="B346" s="173" t="str">
        <f ca="1"/>
        <v>Greenwich Central School District</v>
      </c>
      <c r="C346" s="175">
        <f>IF(COUNTIF(CONTROL!$B$52:$B$101,'Funding by District'!D242)&gt;=1,"",ROW()-104)</f>
        <v>242</v>
      </c>
      <c r="G346" s="39"/>
      <c r="N346" s="283"/>
      <c r="O346" s="283"/>
    </row>
    <row r="347" spans="2:15">
      <c r="B347" s="173" t="str">
        <f ca="1"/>
        <v>Greenwood Lake Union Free School District</v>
      </c>
      <c r="C347" s="175">
        <f>IF(COUNTIF(CONTROL!$B$52:$B$101,'Funding by District'!D243)&gt;=1,"",ROW()-104)</f>
        <v>243</v>
      </c>
      <c r="G347" s="39"/>
      <c r="N347" s="283"/>
      <c r="O347" s="283"/>
    </row>
    <row r="348" spans="2:15">
      <c r="B348" s="173" t="str">
        <f ca="1"/>
        <v>Groton Central School District</v>
      </c>
      <c r="C348" s="175">
        <f>IF(COUNTIF(CONTROL!$B$52:$B$101,'Funding by District'!D244)&gt;=1,"",ROW()-104)</f>
        <v>244</v>
      </c>
      <c r="G348" s="39"/>
      <c r="N348" s="283"/>
      <c r="O348" s="283"/>
    </row>
    <row r="349" spans="2:15">
      <c r="B349" s="173" t="str">
        <f ca="1"/>
        <v>Guilderland Central School District</v>
      </c>
      <c r="C349" s="175">
        <f>IF(COUNTIF(CONTROL!$B$52:$B$101,'Funding by District'!D245)&gt;=1,"",ROW()-104)</f>
        <v>245</v>
      </c>
      <c r="G349" s="39"/>
      <c r="N349" s="283"/>
      <c r="O349" s="283"/>
    </row>
    <row r="350" spans="2:15">
      <c r="B350" s="173" t="str">
        <f ca="1"/>
        <v>Hadley-Luzerne Central School District</v>
      </c>
      <c r="C350" s="175">
        <f>IF(COUNTIF(CONTROL!$B$52:$B$101,'Funding by District'!D246)&gt;=1,"",ROW()-104)</f>
        <v>246</v>
      </c>
      <c r="G350" s="39"/>
      <c r="N350" s="283"/>
      <c r="O350" s="283"/>
    </row>
    <row r="351" spans="2:15">
      <c r="B351" s="173" t="str">
        <f ca="1"/>
        <v>Haldane Central School District</v>
      </c>
      <c r="C351" s="175">
        <f>IF(COUNTIF(CONTROL!$B$52:$B$101,'Funding by District'!D247)&gt;=1,"",ROW()-104)</f>
        <v>247</v>
      </c>
      <c r="G351" s="39"/>
      <c r="N351" s="283"/>
      <c r="O351" s="283"/>
    </row>
    <row r="352" spans="2:15">
      <c r="B352" s="173" t="str">
        <f ca="1"/>
        <v>Half Hollow Hills Central School District</v>
      </c>
      <c r="C352" s="175">
        <f>IF(COUNTIF(CONTROL!$B$52:$B$101,'Funding by District'!D248)&gt;=1,"",ROW()-104)</f>
        <v>248</v>
      </c>
      <c r="G352" s="39"/>
      <c r="N352" s="283"/>
      <c r="O352" s="283"/>
    </row>
    <row r="353" spans="2:15">
      <c r="B353" s="173" t="str">
        <f ca="1"/>
        <v>Hamburg Central School District</v>
      </c>
      <c r="C353" s="175">
        <f>IF(COUNTIF(CONTROL!$B$52:$B$101,'Funding by District'!D249)&gt;=1,"",ROW()-104)</f>
        <v>249</v>
      </c>
      <c r="G353" s="39"/>
      <c r="N353" s="283"/>
      <c r="O353" s="283"/>
    </row>
    <row r="354" spans="2:15">
      <c r="B354" s="173" t="str">
        <f ca="1"/>
        <v>Hamilton Central School District</v>
      </c>
      <c r="C354" s="175">
        <f>IF(COUNTIF(CONTROL!$B$52:$B$101,'Funding by District'!D250)&gt;=1,"",ROW()-104)</f>
        <v>250</v>
      </c>
      <c r="G354" s="39"/>
      <c r="N354" s="283"/>
      <c r="O354" s="283"/>
    </row>
    <row r="355" spans="2:15">
      <c r="B355" s="173" t="str">
        <f ca="1"/>
        <v>Hammond Central School District</v>
      </c>
      <c r="C355" s="175">
        <f>IF(COUNTIF(CONTROL!$B$52:$B$101,'Funding by District'!D251)&gt;=1,"",ROW()-104)</f>
        <v>251</v>
      </c>
      <c r="G355" s="39"/>
      <c r="N355" s="283"/>
      <c r="O355" s="283"/>
    </row>
    <row r="356" spans="2:15">
      <c r="B356" s="173" t="str">
        <f ca="1"/>
        <v>Hammondsport Central School District</v>
      </c>
      <c r="C356" s="175">
        <f>IF(COUNTIF(CONTROL!$B$52:$B$101,'Funding by District'!D252)&gt;=1,"",ROW()-104)</f>
        <v>252</v>
      </c>
      <c r="G356" s="39"/>
      <c r="N356" s="283"/>
      <c r="O356" s="283"/>
    </row>
    <row r="357" spans="2:15">
      <c r="B357" s="173" t="str">
        <f ca="1"/>
        <v>Hampton Bays Union Free School District</v>
      </c>
      <c r="C357" s="175">
        <f>IF(COUNTIF(CONTROL!$B$52:$B$101,'Funding by District'!D253)&gt;=1,"",ROW()-104)</f>
        <v>253</v>
      </c>
      <c r="G357" s="39"/>
      <c r="N357" s="283"/>
      <c r="O357" s="283"/>
    </row>
    <row r="358" spans="2:15">
      <c r="B358" s="173" t="str">
        <f ca="1"/>
        <v>Hancock Central School District</v>
      </c>
      <c r="C358" s="175">
        <f>IF(COUNTIF(CONTROL!$B$52:$B$101,'Funding by District'!D254)&gt;=1,"",ROW()-104)</f>
        <v>254</v>
      </c>
      <c r="G358" s="39"/>
      <c r="N358" s="283"/>
      <c r="O358" s="283"/>
    </row>
    <row r="359" spans="2:15">
      <c r="B359" s="173" t="str">
        <f ca="1"/>
        <v>Hannibal Central School District</v>
      </c>
      <c r="C359" s="175">
        <f>IF(COUNTIF(CONTROL!$B$52:$B$101,'Funding by District'!D255)&gt;=1,"",ROW()-104)</f>
        <v>255</v>
      </c>
      <c r="G359" s="39"/>
      <c r="N359" s="283"/>
      <c r="O359" s="283"/>
    </row>
    <row r="360" spans="2:15">
      <c r="B360" s="173" t="str">
        <f ca="1"/>
        <v>Harborfields Central School District</v>
      </c>
      <c r="C360" s="175">
        <f>IF(COUNTIF(CONTROL!$B$52:$B$101,'Funding by District'!D256)&gt;=1,"",ROW()-104)</f>
        <v>256</v>
      </c>
      <c r="G360" s="39"/>
      <c r="N360" s="283"/>
      <c r="O360" s="283"/>
    </row>
    <row r="361" spans="2:15">
      <c r="B361" s="173" t="str">
        <f ca="1"/>
        <v>Harpursville Central School District</v>
      </c>
      <c r="C361" s="175">
        <f>IF(COUNTIF(CONTROL!$B$52:$B$101,'Funding by District'!D257)&gt;=1,"",ROW()-104)</f>
        <v>257</v>
      </c>
      <c r="G361" s="39"/>
      <c r="N361" s="283"/>
      <c r="O361" s="283"/>
    </row>
    <row r="362" spans="2:15">
      <c r="B362" s="173" t="str">
        <f ca="1"/>
        <v>Harrison Central School District</v>
      </c>
      <c r="C362" s="175">
        <f>IF(COUNTIF(CONTROL!$B$52:$B$101,'Funding by District'!D258)&gt;=1,"",ROW()-104)</f>
        <v>258</v>
      </c>
      <c r="G362" s="39"/>
      <c r="N362" s="283"/>
      <c r="O362" s="283"/>
    </row>
    <row r="363" spans="2:15">
      <c r="B363" s="173" t="str">
        <f ca="1"/>
        <v>Harrisville Central School District</v>
      </c>
      <c r="C363" s="175">
        <f>IF(COUNTIF(CONTROL!$B$52:$B$101,'Funding by District'!D259)&gt;=1,"",ROW()-104)</f>
        <v>259</v>
      </c>
      <c r="G363" s="39"/>
      <c r="N363" s="283"/>
      <c r="O363" s="283"/>
    </row>
    <row r="364" spans="2:15">
      <c r="B364" s="173" t="str">
        <f ca="1"/>
        <v>Hartford Central School District</v>
      </c>
      <c r="C364" s="175">
        <f>IF(COUNTIF(CONTROL!$B$52:$B$101,'Funding by District'!D260)&gt;=1,"",ROW()-104)</f>
        <v>260</v>
      </c>
      <c r="G364" s="39"/>
      <c r="N364" s="283"/>
      <c r="O364" s="283"/>
    </row>
    <row r="365" spans="2:15">
      <c r="B365" s="173" t="str">
        <f ca="1"/>
        <v>Hastings-On-Hudson Union Free School District</v>
      </c>
      <c r="C365" s="175">
        <f>IF(COUNTIF(CONTROL!$B$52:$B$101,'Funding by District'!D261)&gt;=1,"",ROW()-104)</f>
        <v>261</v>
      </c>
      <c r="G365" s="39"/>
      <c r="N365" s="283"/>
      <c r="O365" s="283"/>
    </row>
    <row r="366" spans="2:15">
      <c r="B366" s="173" t="str">
        <f ca="1"/>
        <v>Hauppauge Union Free School District</v>
      </c>
      <c r="C366" s="175">
        <f>IF(COUNTIF(CONTROL!$B$52:$B$101,'Funding by District'!D262)&gt;=1,"",ROW()-104)</f>
        <v>262</v>
      </c>
      <c r="G366" s="39"/>
      <c r="N366" s="283"/>
      <c r="O366" s="283"/>
    </row>
    <row r="367" spans="2:15">
      <c r="B367" s="173" t="str">
        <f ca="1"/>
        <v>Hempstead Union Free School District</v>
      </c>
      <c r="C367" s="175">
        <f>IF(COUNTIF(CONTROL!$B$52:$B$101,'Funding by District'!D263)&gt;=1,"",ROW()-104)</f>
        <v>263</v>
      </c>
      <c r="G367" s="39"/>
      <c r="N367" s="283"/>
      <c r="O367" s="283"/>
    </row>
    <row r="368" spans="2:15">
      <c r="B368" s="173" t="str">
        <f ca="1"/>
        <v>Hendrick Hudson Central School District</v>
      </c>
      <c r="C368" s="175">
        <f>IF(COUNTIF(CONTROL!$B$52:$B$101,'Funding by District'!D264)&gt;=1,"",ROW()-104)</f>
        <v>264</v>
      </c>
      <c r="G368" s="39"/>
      <c r="N368" s="283"/>
      <c r="O368" s="283"/>
    </row>
    <row r="369" spans="2:15">
      <c r="B369" s="173" t="str">
        <f ca="1"/>
        <v>Herkimer Central School District</v>
      </c>
      <c r="C369" s="175">
        <f>IF(COUNTIF(CONTROL!$B$52:$B$101,'Funding by District'!D265)&gt;=1,"",ROW()-104)</f>
        <v>265</v>
      </c>
      <c r="G369" s="39"/>
      <c r="N369" s="283"/>
      <c r="O369" s="283"/>
    </row>
    <row r="370" spans="2:15">
      <c r="B370" s="173" t="str">
        <f ca="1"/>
        <v>Hermon Dekalb Central School District</v>
      </c>
      <c r="C370" s="175">
        <f>IF(COUNTIF(CONTROL!$B$52:$B$101,'Funding by District'!D266)&gt;=1,"",ROW()-104)</f>
        <v>266</v>
      </c>
      <c r="G370" s="39"/>
      <c r="N370" s="283"/>
      <c r="O370" s="283"/>
    </row>
    <row r="371" spans="2:15">
      <c r="B371" s="173" t="str">
        <f ca="1"/>
        <v>Herricks Union Free School District</v>
      </c>
      <c r="C371" s="175">
        <f>IF(COUNTIF(CONTROL!$B$52:$B$101,'Funding by District'!D267)&gt;=1,"",ROW()-104)</f>
        <v>267</v>
      </c>
      <c r="G371" s="39"/>
      <c r="N371" s="283"/>
      <c r="O371" s="283"/>
    </row>
    <row r="372" spans="2:15">
      <c r="B372" s="173" t="str">
        <f ca="1"/>
        <v>Heuvelton Central School District</v>
      </c>
      <c r="C372" s="175">
        <f>IF(COUNTIF(CONTROL!$B$52:$B$101,'Funding by District'!D268)&gt;=1,"",ROW()-104)</f>
        <v>268</v>
      </c>
      <c r="G372" s="39"/>
      <c r="N372" s="283"/>
      <c r="O372" s="283"/>
    </row>
    <row r="373" spans="2:15">
      <c r="B373" s="173" t="str">
        <f ca="1"/>
        <v>Hewlett-Woodmere Union Free School District</v>
      </c>
      <c r="C373" s="175">
        <f>IF(COUNTIF(CONTROL!$B$52:$B$101,'Funding by District'!D269)&gt;=1,"",ROW()-104)</f>
        <v>269</v>
      </c>
      <c r="G373" s="39"/>
      <c r="N373" s="283"/>
      <c r="O373" s="283"/>
    </row>
    <row r="374" spans="2:15">
      <c r="B374" s="173" t="str">
        <f ca="1"/>
        <v>Hicksville Union Free School District</v>
      </c>
      <c r="C374" s="175">
        <f>IF(COUNTIF(CONTROL!$B$52:$B$101,'Funding by District'!D270)&gt;=1,"",ROW()-104)</f>
        <v>270</v>
      </c>
      <c r="G374" s="39"/>
      <c r="N374" s="283"/>
      <c r="O374" s="283"/>
    </row>
    <row r="375" spans="2:15">
      <c r="B375" s="173" t="str">
        <f ca="1"/>
        <v>Highland Central School District</v>
      </c>
      <c r="C375" s="175">
        <f>IF(COUNTIF(CONTROL!$B$52:$B$101,'Funding by District'!D271)&gt;=1,"",ROW()-104)</f>
        <v>271</v>
      </c>
      <c r="G375" s="39"/>
      <c r="N375" s="283"/>
      <c r="O375" s="283"/>
    </row>
    <row r="376" spans="2:15">
      <c r="B376" s="173" t="str">
        <f ca="1"/>
        <v>Highland Falls-Fort Montgomery Central School District</v>
      </c>
      <c r="C376" s="175">
        <f>IF(COUNTIF(CONTROL!$B$52:$B$101,'Funding by District'!D272)&gt;=1,"",ROW()-104)</f>
        <v>272</v>
      </c>
      <c r="G376" s="39"/>
      <c r="N376" s="283"/>
      <c r="O376" s="283"/>
    </row>
    <row r="377" spans="2:15">
      <c r="B377" s="173" t="str">
        <f ca="1"/>
        <v>Hilton Central School District</v>
      </c>
      <c r="C377" s="175">
        <f>IF(COUNTIF(CONTROL!$B$52:$B$101,'Funding by District'!D273)&gt;=1,"",ROW()-104)</f>
        <v>273</v>
      </c>
      <c r="G377" s="39"/>
      <c r="N377" s="283"/>
      <c r="O377" s="283"/>
    </row>
    <row r="378" spans="2:15">
      <c r="B378" s="173" t="str">
        <f ca="1"/>
        <v>Hinsdale Central School District</v>
      </c>
      <c r="C378" s="175">
        <f>IF(COUNTIF(CONTROL!$B$52:$B$101,'Funding by District'!D274)&gt;=1,"",ROW()-104)</f>
        <v>274</v>
      </c>
      <c r="G378" s="39"/>
      <c r="N378" s="283"/>
      <c r="O378" s="283"/>
    </row>
    <row r="379" spans="2:15">
      <c r="B379" s="173" t="str">
        <f ca="1"/>
        <v>Holland Central School District</v>
      </c>
      <c r="C379" s="175">
        <f>IF(COUNTIF(CONTROL!$B$52:$B$101,'Funding by District'!D275)&gt;=1,"",ROW()-104)</f>
        <v>275</v>
      </c>
      <c r="G379" s="39"/>
      <c r="N379" s="283"/>
      <c r="O379" s="283"/>
    </row>
    <row r="380" spans="2:15">
      <c r="B380" s="173" t="str">
        <f ca="1"/>
        <v>Holland Patent Central School District</v>
      </c>
      <c r="C380" s="175">
        <f>IF(COUNTIF(CONTROL!$B$52:$B$101,'Funding by District'!D276)&gt;=1,"",ROW()-104)</f>
        <v>276</v>
      </c>
      <c r="N380" s="283"/>
      <c r="O380" s="283"/>
    </row>
    <row r="381" spans="2:15">
      <c r="B381" s="173" t="str">
        <f ca="1"/>
        <v>Holley Central School District</v>
      </c>
      <c r="C381" s="175">
        <f>IF(COUNTIF(CONTROL!$B$52:$B$101,'Funding by District'!D277)&gt;=1,"",ROW()-104)</f>
        <v>277</v>
      </c>
      <c r="N381" s="283"/>
      <c r="O381" s="283"/>
    </row>
    <row r="382" spans="2:15">
      <c r="B382" s="173" t="str">
        <f ca="1"/>
        <v>Homer Central School District</v>
      </c>
      <c r="C382" s="175">
        <f>IF(COUNTIF(CONTROL!$B$52:$B$101,'Funding by District'!D278)&gt;=1,"",ROW()-104)</f>
        <v>278</v>
      </c>
      <c r="N382" s="283"/>
      <c r="O382" s="283"/>
    </row>
    <row r="383" spans="2:15">
      <c r="B383" s="173" t="str">
        <f ca="1"/>
        <v>Honeoye Central School District</v>
      </c>
      <c r="C383" s="175">
        <f>IF(COUNTIF(CONTROL!$B$52:$B$101,'Funding by District'!D279)&gt;=1,"",ROW()-104)</f>
        <v>279</v>
      </c>
      <c r="N383" s="283"/>
      <c r="O383" s="283"/>
    </row>
    <row r="384" spans="2:15">
      <c r="B384" s="173" t="str">
        <f ca="1"/>
        <v>Honeoye Falls-Lima Central School District</v>
      </c>
      <c r="C384" s="175">
        <f>IF(COUNTIF(CONTROL!$B$52:$B$101,'Funding by District'!D280)&gt;=1,"",ROW()-104)</f>
        <v>280</v>
      </c>
      <c r="N384" s="283"/>
      <c r="O384" s="283"/>
    </row>
    <row r="385" spans="2:15">
      <c r="B385" s="173" t="str">
        <f ca="1"/>
        <v>Hoosic Valley Central School District</v>
      </c>
      <c r="C385" s="175">
        <f>IF(COUNTIF(CONTROL!$B$52:$B$101,'Funding by District'!D281)&gt;=1,"",ROW()-104)</f>
        <v>281</v>
      </c>
      <c r="N385" s="283"/>
      <c r="O385" s="283"/>
    </row>
    <row r="386" spans="2:15">
      <c r="B386" s="173" t="str">
        <f ca="1"/>
        <v>Hoosick Falls Central School District</v>
      </c>
      <c r="C386" s="175">
        <f>IF(COUNTIF(CONTROL!$B$52:$B$101,'Funding by District'!D282)&gt;=1,"",ROW()-104)</f>
        <v>282</v>
      </c>
      <c r="N386" s="283"/>
      <c r="O386" s="283"/>
    </row>
    <row r="387" spans="2:15">
      <c r="B387" s="173" t="str">
        <f ca="1"/>
        <v>Hornell City School District</v>
      </c>
      <c r="C387" s="175">
        <f>IF(COUNTIF(CONTROL!$B$52:$B$101,'Funding by District'!D283)&gt;=1,"",ROW()-104)</f>
        <v>283</v>
      </c>
      <c r="N387" s="283"/>
      <c r="O387" s="283"/>
    </row>
    <row r="388" spans="2:15">
      <c r="B388" s="173" t="str">
        <f ca="1"/>
        <v>Horseheads Central School District</v>
      </c>
      <c r="C388" s="175">
        <f>IF(COUNTIF(CONTROL!$B$52:$B$101,'Funding by District'!D284)&gt;=1,"",ROW()-104)</f>
        <v>284</v>
      </c>
      <c r="N388" s="283"/>
      <c r="O388" s="283"/>
    </row>
    <row r="389" spans="2:15">
      <c r="B389" s="173" t="str">
        <f ca="1"/>
        <v>Hudson City School District</v>
      </c>
      <c r="C389" s="175">
        <f>IF(COUNTIF(CONTROL!$B$52:$B$101,'Funding by District'!D285)&gt;=1,"",ROW()-104)</f>
        <v>285</v>
      </c>
      <c r="N389" s="283"/>
      <c r="O389" s="283"/>
    </row>
    <row r="390" spans="2:15">
      <c r="B390" s="173" t="str">
        <f ca="1"/>
        <v>Hudson Falls Central School District</v>
      </c>
      <c r="C390" s="175">
        <f>IF(COUNTIF(CONTROL!$B$52:$B$101,'Funding by District'!D286)&gt;=1,"",ROW()-104)</f>
        <v>286</v>
      </c>
      <c r="N390" s="283"/>
      <c r="O390" s="283"/>
    </row>
    <row r="391" spans="2:15">
      <c r="B391" s="173" t="str">
        <f ca="1"/>
        <v>Hunter-Tannersville Central School District</v>
      </c>
      <c r="C391" s="175">
        <f>IF(COUNTIF(CONTROL!$B$52:$B$101,'Funding by District'!D287)&gt;=1,"",ROW()-104)</f>
        <v>287</v>
      </c>
      <c r="N391" s="283"/>
      <c r="O391" s="283"/>
    </row>
    <row r="392" spans="2:15">
      <c r="B392" s="173" t="str">
        <f ca="1"/>
        <v>Huntington Union Free School District</v>
      </c>
      <c r="C392" s="175">
        <f>IF(COUNTIF(CONTROL!$B$52:$B$101,'Funding by District'!D288)&gt;=1,"",ROW()-104)</f>
        <v>288</v>
      </c>
      <c r="N392" s="283"/>
      <c r="O392" s="283"/>
    </row>
    <row r="393" spans="2:15">
      <c r="B393" s="173" t="str">
        <f ca="1"/>
        <v>Hyde Park Central School District</v>
      </c>
      <c r="C393" s="175">
        <f>IF(COUNTIF(CONTROL!$B$52:$B$101,'Funding by District'!D289)&gt;=1,"",ROW()-104)</f>
        <v>289</v>
      </c>
      <c r="N393" s="283"/>
      <c r="O393" s="283"/>
    </row>
    <row r="394" spans="2:15">
      <c r="B394" s="173" t="str">
        <f ca="1"/>
        <v>Ichabod Crane Central School District</v>
      </c>
      <c r="C394" s="175">
        <f>IF(COUNTIF(CONTROL!$B$52:$B$101,'Funding by District'!D290)&gt;=1,"",ROW()-104)</f>
        <v>290</v>
      </c>
      <c r="N394" s="283"/>
      <c r="O394" s="283"/>
    </row>
    <row r="395" spans="2:15">
      <c r="B395" s="173" t="str">
        <f ca="1"/>
        <v>Indian Lake Central School District</v>
      </c>
      <c r="C395" s="175">
        <f>IF(COUNTIF(CONTROL!$B$52:$B$101,'Funding by District'!D291)&gt;=1,"",ROW()-104)</f>
        <v>291</v>
      </c>
      <c r="N395" s="283"/>
      <c r="O395" s="283"/>
    </row>
    <row r="396" spans="2:15">
      <c r="B396" s="173" t="str">
        <f ca="1"/>
        <v>Indian River Central School District</v>
      </c>
      <c r="C396" s="175">
        <f>IF(COUNTIF(CONTROL!$B$52:$B$101,'Funding by District'!D292)&gt;=1,"",ROW()-104)</f>
        <v>292</v>
      </c>
      <c r="N396" s="283"/>
      <c r="O396" s="283"/>
    </row>
    <row r="397" spans="2:15">
      <c r="B397" s="173" t="str">
        <f ca="1"/>
        <v>Inlet Common School District</v>
      </c>
      <c r="C397" s="175">
        <f>IF(COUNTIF(CONTROL!$B$52:$B$101,'Funding by District'!D293)&gt;=1,"",ROW()-104)</f>
        <v>293</v>
      </c>
      <c r="N397" s="283"/>
      <c r="O397" s="283"/>
    </row>
    <row r="398" spans="2:15">
      <c r="B398" s="173" t="str">
        <f ca="1"/>
        <v>Iroquois Central School District</v>
      </c>
      <c r="C398" s="175">
        <f>IF(COUNTIF(CONTROL!$B$52:$B$101,'Funding by District'!D294)&gt;=1,"",ROW()-104)</f>
        <v>294</v>
      </c>
      <c r="N398" s="283"/>
      <c r="O398" s="283"/>
    </row>
    <row r="399" spans="2:15">
      <c r="B399" s="173" t="str">
        <f ca="1"/>
        <v>Irvington Union Free School District</v>
      </c>
      <c r="C399" s="175">
        <f>IF(COUNTIF(CONTROL!$B$52:$B$101,'Funding by District'!D295)&gt;=1,"",ROW()-104)</f>
        <v>295</v>
      </c>
      <c r="N399" s="283"/>
      <c r="O399" s="283"/>
    </row>
    <row r="400" spans="2:15">
      <c r="B400" s="173" t="str">
        <f ca="1"/>
        <v>Island Park Union Free School District</v>
      </c>
      <c r="C400" s="175">
        <f>IF(COUNTIF(CONTROL!$B$52:$B$101,'Funding by District'!D296)&gt;=1,"",ROW()-104)</f>
        <v>296</v>
      </c>
      <c r="N400" s="283"/>
      <c r="O400" s="283"/>
    </row>
    <row r="401" spans="2:15">
      <c r="B401" s="173" t="str">
        <f ca="1"/>
        <v>Island Trees Union Free School District</v>
      </c>
      <c r="C401" s="175">
        <f>IF(COUNTIF(CONTROL!$B$52:$B$101,'Funding by District'!D297)&gt;=1,"",ROW()-104)</f>
        <v>297</v>
      </c>
      <c r="N401" s="283"/>
      <c r="O401" s="283"/>
    </row>
    <row r="402" spans="2:15">
      <c r="B402" s="173" t="str">
        <f ca="1"/>
        <v>Islip Union Free School District</v>
      </c>
      <c r="C402" s="175">
        <f>IF(COUNTIF(CONTROL!$B$52:$B$101,'Funding by District'!D298)&gt;=1,"",ROW()-104)</f>
        <v>298</v>
      </c>
      <c r="N402" s="283"/>
      <c r="O402" s="283"/>
    </row>
    <row r="403" spans="2:15">
      <c r="B403" s="173" t="str">
        <f ca="1"/>
        <v>Ithaca City School District</v>
      </c>
      <c r="C403" s="175">
        <f>IF(COUNTIF(CONTROL!$B$52:$B$101,'Funding by District'!D299)&gt;=1,"",ROW()-104)</f>
        <v>299</v>
      </c>
      <c r="N403" s="283"/>
      <c r="O403" s="283"/>
    </row>
    <row r="404" spans="2:15">
      <c r="B404" s="173" t="str">
        <f ca="1"/>
        <v>Jamestown City School District</v>
      </c>
      <c r="C404" s="175">
        <f>IF(COUNTIF(CONTROL!$B$52:$B$101,'Funding by District'!D300)&gt;=1,"",ROW()-104)</f>
        <v>300</v>
      </c>
      <c r="N404" s="283"/>
      <c r="O404" s="283"/>
    </row>
    <row r="405" spans="2:15">
      <c r="B405" s="173" t="str">
        <f ca="1"/>
        <v>Jamesville-Dewitt Central School District</v>
      </c>
      <c r="C405" s="175">
        <f>IF(COUNTIF(CONTROL!$B$52:$B$101,'Funding by District'!D301)&gt;=1,"",ROW()-104)</f>
        <v>301</v>
      </c>
      <c r="N405" s="283"/>
      <c r="O405" s="283"/>
    </row>
    <row r="406" spans="2:15">
      <c r="B406" s="173" t="str">
        <f ca="1"/>
        <v>Jasper-Troupsburg Central School District</v>
      </c>
      <c r="C406" s="175">
        <f>IF(COUNTIF(CONTROL!$B$52:$B$101,'Funding by District'!D302)&gt;=1,"",ROW()-104)</f>
        <v>302</v>
      </c>
      <c r="N406" s="283"/>
      <c r="O406" s="283"/>
    </row>
    <row r="407" spans="2:15">
      <c r="B407" s="173" t="str">
        <f ca="1"/>
        <v>Jefferson Central School District</v>
      </c>
      <c r="C407" s="175">
        <f>IF(COUNTIF(CONTROL!$B$52:$B$101,'Funding by District'!D303)&gt;=1,"",ROW()-104)</f>
        <v>303</v>
      </c>
      <c r="N407" s="283"/>
      <c r="O407" s="283"/>
    </row>
    <row r="408" spans="2:15">
      <c r="B408" s="173" t="str">
        <f ca="1"/>
        <v>Jericho Union Free School District</v>
      </c>
      <c r="C408" s="175">
        <f>IF(COUNTIF(CONTROL!$B$52:$B$101,'Funding by District'!D304)&gt;=1,"",ROW()-104)</f>
        <v>304</v>
      </c>
      <c r="N408" s="283"/>
      <c r="O408" s="283"/>
    </row>
    <row r="409" spans="2:15">
      <c r="B409" s="173" t="str">
        <f ca="1"/>
        <v>Johnsburg Central School District</v>
      </c>
      <c r="C409" s="175">
        <f>IF(COUNTIF(CONTROL!$B$52:$B$101,'Funding by District'!D305)&gt;=1,"",ROW()-104)</f>
        <v>305</v>
      </c>
      <c r="N409" s="283"/>
      <c r="O409" s="283"/>
    </row>
    <row r="410" spans="2:15">
      <c r="B410" s="173" t="str">
        <f ca="1"/>
        <v>Johnson City Central School District</v>
      </c>
      <c r="C410" s="175">
        <f>IF(COUNTIF(CONTROL!$B$52:$B$101,'Funding by District'!D306)&gt;=1,"",ROW()-104)</f>
        <v>306</v>
      </c>
      <c r="N410" s="283"/>
      <c r="O410" s="283"/>
    </row>
    <row r="411" spans="2:15">
      <c r="B411" s="173" t="str">
        <f ca="1"/>
        <v>Johnstown City School District</v>
      </c>
      <c r="C411" s="175">
        <f>IF(COUNTIF(CONTROL!$B$52:$B$101,'Funding by District'!D307)&gt;=1,"",ROW()-104)</f>
        <v>307</v>
      </c>
      <c r="N411" s="283"/>
      <c r="O411" s="283"/>
    </row>
    <row r="412" spans="2:15">
      <c r="B412" s="173" t="str">
        <f ca="1"/>
        <v>Jordan-Elbridge Central School District</v>
      </c>
      <c r="C412" s="175">
        <f>IF(COUNTIF(CONTROL!$B$52:$B$101,'Funding by District'!D308)&gt;=1,"",ROW()-104)</f>
        <v>308</v>
      </c>
      <c r="N412" s="283"/>
      <c r="O412" s="283"/>
    </row>
    <row r="413" spans="2:15">
      <c r="B413" s="173" t="str">
        <f ca="1"/>
        <v>Katonah-Lewisboro Union Free School District</v>
      </c>
      <c r="C413" s="175">
        <f>IF(COUNTIF(CONTROL!$B$52:$B$101,'Funding by District'!D309)&gt;=1,"",ROW()-104)</f>
        <v>309</v>
      </c>
      <c r="N413" s="283"/>
      <c r="O413" s="283"/>
    </row>
    <row r="414" spans="2:15">
      <c r="B414" s="173" t="str">
        <f ca="1"/>
        <v>Keene Central School District</v>
      </c>
      <c r="C414" s="175">
        <f>IF(COUNTIF(CONTROL!$B$52:$B$101,'Funding by District'!D310)&gt;=1,"",ROW()-104)</f>
        <v>310</v>
      </c>
      <c r="N414" s="283"/>
      <c r="O414" s="283"/>
    </row>
    <row r="415" spans="2:15">
      <c r="B415" s="173" t="str">
        <f ca="1"/>
        <v>Kendall Central School District</v>
      </c>
      <c r="C415" s="175">
        <f>IF(COUNTIF(CONTROL!$B$52:$B$101,'Funding by District'!D311)&gt;=1,"",ROW()-104)</f>
        <v>311</v>
      </c>
      <c r="N415" s="283"/>
      <c r="O415" s="283"/>
    </row>
    <row r="416" spans="2:15">
      <c r="B416" s="173" t="str">
        <f ca="1"/>
        <v>Kenmore-Town of Tonawanda Union Free School District</v>
      </c>
      <c r="C416" s="175">
        <f>IF(COUNTIF(CONTROL!$B$52:$B$101,'Funding by District'!D312)&gt;=1,"",ROW()-104)</f>
        <v>312</v>
      </c>
      <c r="N416" s="283"/>
      <c r="O416" s="283"/>
    </row>
    <row r="417" spans="2:15">
      <c r="B417" s="173" t="str">
        <f ca="1"/>
        <v>Keshequa Central School District</v>
      </c>
      <c r="C417" s="175">
        <f>IF(COUNTIF(CONTROL!$B$52:$B$101,'Funding by District'!D313)&gt;=1,"",ROW()-104)</f>
        <v>313</v>
      </c>
      <c r="N417" s="283"/>
      <c r="O417" s="283"/>
    </row>
    <row r="418" spans="2:15">
      <c r="B418" s="173" t="str">
        <f ca="1"/>
        <v>Kings Park Central School District</v>
      </c>
      <c r="C418" s="175">
        <f>IF(COUNTIF(CONTROL!$B$52:$B$101,'Funding by District'!D314)&gt;=1,"",ROW()-104)</f>
        <v>314</v>
      </c>
      <c r="N418" s="283"/>
      <c r="O418" s="283"/>
    </row>
    <row r="419" spans="2:15">
      <c r="B419" s="173" t="str">
        <f ca="1"/>
        <v>Kingston City School District</v>
      </c>
      <c r="C419" s="175">
        <f>IF(COUNTIF(CONTROL!$B$52:$B$101,'Funding by District'!D315)&gt;=1,"",ROW()-104)</f>
        <v>315</v>
      </c>
      <c r="N419" s="283"/>
      <c r="O419" s="283"/>
    </row>
    <row r="420" spans="2:15">
      <c r="B420" s="173" t="str">
        <f ca="1"/>
        <v>Kiryas Joel Village Union Free School District</v>
      </c>
      <c r="C420" s="175">
        <f>IF(COUNTIF(CONTROL!$B$52:$B$101,'Funding by District'!D316)&gt;=1,"",ROW()-104)</f>
        <v>316</v>
      </c>
      <c r="N420" s="283"/>
      <c r="O420" s="283"/>
    </row>
    <row r="421" spans="2:15">
      <c r="B421" s="173" t="str">
        <f ca="1"/>
        <v>Lackawanna City School District</v>
      </c>
      <c r="C421" s="175">
        <f>IF(COUNTIF(CONTROL!$B$52:$B$101,'Funding by District'!D317)&gt;=1,"",ROW()-104)</f>
        <v>317</v>
      </c>
      <c r="N421" s="283"/>
      <c r="O421" s="283"/>
    </row>
    <row r="422" spans="2:15">
      <c r="B422" s="173" t="str">
        <f ca="1"/>
        <v>Lafargeville Central School District</v>
      </c>
      <c r="C422" s="175">
        <f>IF(COUNTIF(CONTROL!$B$52:$B$101,'Funding by District'!D318)&gt;=1,"",ROW()-104)</f>
        <v>318</v>
      </c>
      <c r="N422" s="283"/>
      <c r="O422" s="283"/>
    </row>
    <row r="423" spans="2:15">
      <c r="B423" s="173" t="str">
        <f ca="1"/>
        <v>Lafayette Central School District</v>
      </c>
      <c r="C423" s="175">
        <f>IF(COUNTIF(CONTROL!$B$52:$B$101,'Funding by District'!D319)&gt;=1,"",ROW()-104)</f>
        <v>319</v>
      </c>
      <c r="N423" s="283"/>
      <c r="O423" s="283"/>
    </row>
    <row r="424" spans="2:15">
      <c r="B424" s="173" t="str">
        <f ca="1"/>
        <v>Lake George Central School District</v>
      </c>
      <c r="C424" s="175">
        <f>IF(COUNTIF(CONTROL!$B$52:$B$101,'Funding by District'!D320)&gt;=1,"",ROW()-104)</f>
        <v>320</v>
      </c>
      <c r="N424" s="283"/>
      <c r="O424" s="283"/>
    </row>
    <row r="425" spans="2:15">
      <c r="B425" s="173" t="str">
        <f ca="1"/>
        <v>Lake Placid Central School District</v>
      </c>
      <c r="C425" s="175">
        <f>IF(COUNTIF(CONTROL!$B$52:$B$101,'Funding by District'!D321)&gt;=1,"",ROW()-104)</f>
        <v>321</v>
      </c>
      <c r="N425" s="283"/>
      <c r="O425" s="283"/>
    </row>
    <row r="426" spans="2:15">
      <c r="B426" s="173" t="str">
        <f ca="1"/>
        <v>Lake Pleasant Central School District</v>
      </c>
      <c r="C426" s="175">
        <f>IF(COUNTIF(CONTROL!$B$52:$B$101,'Funding by District'!D322)&gt;=1,"",ROW()-104)</f>
        <v>322</v>
      </c>
      <c r="N426" s="283"/>
      <c r="O426" s="283"/>
    </row>
    <row r="427" spans="2:15">
      <c r="B427" s="173" t="str">
        <f ca="1"/>
        <v>Lake Shore Central School District</v>
      </c>
      <c r="C427" s="175">
        <f>IF(COUNTIF(CONTROL!$B$52:$B$101,'Funding by District'!D323)&gt;=1,"",ROW()-104)</f>
        <v>323</v>
      </c>
      <c r="N427" s="283"/>
      <c r="O427" s="283"/>
    </row>
    <row r="428" spans="2:15">
      <c r="B428" s="173" t="str">
        <f ca="1"/>
        <v>Lakeland Central School District</v>
      </c>
      <c r="C428" s="175">
        <f>IF(COUNTIF(CONTROL!$B$52:$B$101,'Funding by District'!D324)&gt;=1,"",ROW()-104)</f>
        <v>324</v>
      </c>
      <c r="N428" s="283"/>
      <c r="O428" s="283"/>
    </row>
    <row r="429" spans="2:15">
      <c r="B429" s="173" t="str">
        <f ca="1"/>
        <v>Lancaster Central School District</v>
      </c>
      <c r="C429" s="175">
        <f>IF(COUNTIF(CONTROL!$B$52:$B$101,'Funding by District'!D325)&gt;=1,"",ROW()-104)</f>
        <v>325</v>
      </c>
      <c r="N429" s="283"/>
      <c r="O429" s="283"/>
    </row>
    <row r="430" spans="2:15">
      <c r="B430" s="173" t="str">
        <f ca="1"/>
        <v>Lansing Central School District</v>
      </c>
      <c r="C430" s="175">
        <f>IF(COUNTIF(CONTROL!$B$52:$B$101,'Funding by District'!D326)&gt;=1,"",ROW()-104)</f>
        <v>326</v>
      </c>
      <c r="N430" s="283"/>
      <c r="O430" s="283"/>
    </row>
    <row r="431" spans="2:15">
      <c r="B431" s="173" t="str">
        <f ca="1"/>
        <v>Lansingburgh Central School District</v>
      </c>
      <c r="C431" s="175">
        <f>IF(COUNTIF(CONTROL!$B$52:$B$101,'Funding by District'!D327)&gt;=1,"",ROW()-104)</f>
        <v>327</v>
      </c>
      <c r="N431" s="283"/>
      <c r="O431" s="283"/>
    </row>
    <row r="432" spans="2:15">
      <c r="B432" s="173" t="str">
        <f ca="1"/>
        <v>Laurens Central School District</v>
      </c>
      <c r="C432" s="175">
        <f>IF(COUNTIF(CONTROL!$B$52:$B$101,'Funding by District'!D328)&gt;=1,"",ROW()-104)</f>
        <v>328</v>
      </c>
      <c r="N432" s="283"/>
      <c r="O432" s="283"/>
    </row>
    <row r="433" spans="2:15">
      <c r="B433" s="173" t="str">
        <f ca="1"/>
        <v>Lawrence Union Free School District</v>
      </c>
      <c r="C433" s="175">
        <f>IF(COUNTIF(CONTROL!$B$52:$B$101,'Funding by District'!D329)&gt;=1,"",ROW()-104)</f>
        <v>329</v>
      </c>
      <c r="N433" s="283"/>
      <c r="O433" s="283"/>
    </row>
    <row r="434" spans="2:15">
      <c r="B434" s="173" t="str">
        <f ca="1"/>
        <v>Le Roy Central School District</v>
      </c>
      <c r="C434" s="175">
        <f>IF(COUNTIF(CONTROL!$B$52:$B$101,'Funding by District'!D330)&gt;=1,"",ROW()-104)</f>
        <v>330</v>
      </c>
      <c r="N434" s="283"/>
      <c r="O434" s="283"/>
    </row>
    <row r="435" spans="2:15">
      <c r="B435" s="173" t="str">
        <f ca="1"/>
        <v>Letchworth Central School District</v>
      </c>
      <c r="C435" s="175">
        <f>IF(COUNTIF(CONTROL!$B$52:$B$101,'Funding by District'!D331)&gt;=1,"",ROW()-104)</f>
        <v>331</v>
      </c>
      <c r="N435" s="283"/>
      <c r="O435" s="283"/>
    </row>
    <row r="436" spans="2:15">
      <c r="B436" s="173" t="str">
        <f ca="1"/>
        <v>Levittown Union Free School District</v>
      </c>
      <c r="C436" s="175">
        <f>IF(COUNTIF(CONTROL!$B$52:$B$101,'Funding by District'!D332)&gt;=1,"",ROW()-104)</f>
        <v>332</v>
      </c>
      <c r="N436" s="283"/>
      <c r="O436" s="283"/>
    </row>
    <row r="437" spans="2:15">
      <c r="B437" s="173" t="str">
        <f ca="1"/>
        <v>Lewiston-Porter Central School District</v>
      </c>
      <c r="C437" s="175">
        <f>IF(COUNTIF(CONTROL!$B$52:$B$101,'Funding by District'!D333)&gt;=1,"",ROW()-104)</f>
        <v>333</v>
      </c>
      <c r="N437" s="283"/>
      <c r="O437" s="283"/>
    </row>
    <row r="438" spans="2:15">
      <c r="B438" s="173" t="str">
        <f ca="1"/>
        <v>Liberty Central School District</v>
      </c>
      <c r="C438" s="175">
        <f>IF(COUNTIF(CONTROL!$B$52:$B$101,'Funding by District'!D334)&gt;=1,"",ROW()-104)</f>
        <v>334</v>
      </c>
      <c r="N438" s="283"/>
      <c r="O438" s="283"/>
    </row>
    <row r="439" spans="2:15">
      <c r="B439" s="173" t="str">
        <f ca="1"/>
        <v>Lindenhurst Union Free School District</v>
      </c>
      <c r="C439" s="175">
        <f>IF(COUNTIF(CONTROL!$B$52:$B$101,'Funding by District'!D335)&gt;=1,"",ROW()-104)</f>
        <v>335</v>
      </c>
      <c r="N439" s="283"/>
      <c r="O439" s="283"/>
    </row>
    <row r="440" spans="2:15">
      <c r="B440" s="173" t="str">
        <f ca="1"/>
        <v>Lisbon Central School District</v>
      </c>
      <c r="C440" s="175">
        <f>IF(COUNTIF(CONTROL!$B$52:$B$101,'Funding by District'!D336)&gt;=1,"",ROW()-104)</f>
        <v>336</v>
      </c>
      <c r="N440" s="283"/>
      <c r="O440" s="283"/>
    </row>
    <row r="441" spans="2:15">
      <c r="B441" s="173" t="str">
        <f ca="1"/>
        <v>Little Falls City School District</v>
      </c>
      <c r="C441" s="175">
        <f>IF(COUNTIF(CONTROL!$B$52:$B$101,'Funding by District'!D337)&gt;=1,"",ROW()-104)</f>
        <v>337</v>
      </c>
      <c r="N441" s="283"/>
      <c r="O441" s="283"/>
    </row>
    <row r="442" spans="2:15">
      <c r="B442" s="173" t="str">
        <f ca="1"/>
        <v>Liverpool Central School District</v>
      </c>
      <c r="C442" s="175">
        <f>IF(COUNTIF(CONTROL!$B$52:$B$101,'Funding by District'!D338)&gt;=1,"",ROW()-104)</f>
        <v>338</v>
      </c>
      <c r="N442" s="283"/>
      <c r="O442" s="283"/>
    </row>
    <row r="443" spans="2:15">
      <c r="B443" s="173" t="str">
        <f ca="1"/>
        <v>Livingston Manor Central School District</v>
      </c>
      <c r="C443" s="175">
        <f>IF(COUNTIF(CONTROL!$B$52:$B$101,'Funding by District'!D339)&gt;=1,"",ROW()-104)</f>
        <v>339</v>
      </c>
      <c r="N443" s="283"/>
      <c r="O443" s="283"/>
    </row>
    <row r="444" spans="2:15">
      <c r="B444" s="173" t="str">
        <f ca="1"/>
        <v>Livonia Central School District</v>
      </c>
      <c r="C444" s="175">
        <f>IF(COUNTIF(CONTROL!$B$52:$B$101,'Funding by District'!D340)&gt;=1,"",ROW()-104)</f>
        <v>340</v>
      </c>
      <c r="N444" s="283"/>
      <c r="O444" s="283"/>
    </row>
    <row r="445" spans="2:15">
      <c r="B445" s="173" t="str">
        <f ca="1"/>
        <v>Lockport City School District</v>
      </c>
      <c r="C445" s="175">
        <f>IF(COUNTIF(CONTROL!$B$52:$B$101,'Funding by District'!D341)&gt;=1,"",ROW()-104)</f>
        <v>341</v>
      </c>
      <c r="N445" s="283"/>
      <c r="O445" s="283"/>
    </row>
    <row r="446" spans="2:15">
      <c r="B446" s="173" t="str">
        <f ca="1"/>
        <v>Locust Valley Central School District</v>
      </c>
      <c r="C446" s="175">
        <f>IF(COUNTIF(CONTROL!$B$52:$B$101,'Funding by District'!D342)&gt;=1,"",ROW()-104)</f>
        <v>342</v>
      </c>
      <c r="N446" s="283"/>
      <c r="O446" s="283"/>
    </row>
    <row r="447" spans="2:15">
      <c r="B447" s="173" t="str">
        <f ca="1"/>
        <v>Long Beach City School District</v>
      </c>
      <c r="C447" s="175">
        <f>IF(COUNTIF(CONTROL!$B$52:$B$101,'Funding by District'!D343)&gt;=1,"",ROW()-104)</f>
        <v>343</v>
      </c>
      <c r="N447" s="283"/>
      <c r="O447" s="283"/>
    </row>
    <row r="448" spans="2:15">
      <c r="B448" s="173" t="str">
        <f ca="1"/>
        <v>Long Lake Central School District</v>
      </c>
      <c r="C448" s="175">
        <f>IF(COUNTIF(CONTROL!$B$52:$B$101,'Funding by District'!D344)&gt;=1,"",ROW()-104)</f>
        <v>344</v>
      </c>
      <c r="N448" s="283"/>
      <c r="O448" s="283"/>
    </row>
    <row r="449" spans="2:15">
      <c r="B449" s="173" t="str">
        <f ca="1"/>
        <v>Longwood Central School District</v>
      </c>
      <c r="C449" s="175">
        <f>IF(COUNTIF(CONTROL!$B$52:$B$101,'Funding by District'!D345)&gt;=1,"",ROW()-104)</f>
        <v>345</v>
      </c>
      <c r="N449" s="283"/>
      <c r="O449" s="283"/>
    </row>
    <row r="450" spans="2:15">
      <c r="B450" s="173" t="str">
        <f ca="1"/>
        <v>Lowville Academy and Central School District</v>
      </c>
      <c r="C450" s="175">
        <f>IF(COUNTIF(CONTROL!$B$52:$B$101,'Funding by District'!D346)&gt;=1,"",ROW()-104)</f>
        <v>346</v>
      </c>
      <c r="N450" s="283"/>
      <c r="O450" s="283"/>
    </row>
    <row r="451" spans="2:15">
      <c r="B451" s="173" t="str">
        <f ca="1"/>
        <v>Lyme Central School District</v>
      </c>
      <c r="C451" s="175">
        <f>IF(COUNTIF(CONTROL!$B$52:$B$101,'Funding by District'!D347)&gt;=1,"",ROW()-104)</f>
        <v>347</v>
      </c>
      <c r="N451" s="283"/>
      <c r="O451" s="283"/>
    </row>
    <row r="452" spans="2:15">
      <c r="B452" s="173" t="str">
        <f ca="1"/>
        <v>Lynbrook Union Free School District</v>
      </c>
      <c r="C452" s="175">
        <f>IF(COUNTIF(CONTROL!$B$52:$B$101,'Funding by District'!D348)&gt;=1,"",ROW()-104)</f>
        <v>348</v>
      </c>
      <c r="N452" s="283"/>
      <c r="O452" s="283"/>
    </row>
    <row r="453" spans="2:15">
      <c r="B453" s="173" t="str">
        <f ca="1"/>
        <v>Lyncourt Union Free School District</v>
      </c>
      <c r="C453" s="175">
        <f>IF(COUNTIF(CONTROL!$B$52:$B$101,'Funding by District'!D349)&gt;=1,"",ROW()-104)</f>
        <v>349</v>
      </c>
      <c r="N453" s="283"/>
      <c r="O453" s="283"/>
    </row>
    <row r="454" spans="2:15">
      <c r="B454" s="173" t="str">
        <f ca="1"/>
        <v>Lyndonville Central School District</v>
      </c>
      <c r="C454" s="175">
        <f>IF(COUNTIF(CONTROL!$B$52:$B$101,'Funding by District'!D350)&gt;=1,"",ROW()-104)</f>
        <v>350</v>
      </c>
      <c r="N454" s="283"/>
      <c r="O454" s="283"/>
    </row>
    <row r="455" spans="2:15">
      <c r="B455" s="173" t="str">
        <f ca="1"/>
        <v>Lyons Central School District</v>
      </c>
      <c r="C455" s="175">
        <f>IF(COUNTIF(CONTROL!$B$52:$B$101,'Funding by District'!D351)&gt;=1,"",ROW()-104)</f>
        <v>351</v>
      </c>
      <c r="N455" s="283"/>
      <c r="O455" s="283"/>
    </row>
    <row r="456" spans="2:15">
      <c r="B456" s="173" t="str">
        <f ca="1"/>
        <v>Madison Central School District</v>
      </c>
      <c r="C456" s="175">
        <f>IF(COUNTIF(CONTROL!$B$52:$B$101,'Funding by District'!D352)&gt;=1,"",ROW()-104)</f>
        <v>352</v>
      </c>
      <c r="N456" s="283"/>
      <c r="O456" s="283"/>
    </row>
    <row r="457" spans="2:15">
      <c r="B457" s="173" t="str">
        <f ca="1"/>
        <v>Madrid-Waddington Central School District</v>
      </c>
      <c r="C457" s="175">
        <f>IF(COUNTIF(CONTROL!$B$52:$B$101,'Funding by District'!D353)&gt;=1,"",ROW()-104)</f>
        <v>353</v>
      </c>
      <c r="N457" s="283"/>
      <c r="O457" s="283"/>
    </row>
    <row r="458" spans="2:15">
      <c r="B458" s="173" t="str">
        <f ca="1"/>
        <v>Mahopac Central School District</v>
      </c>
      <c r="C458" s="175">
        <f>IF(COUNTIF(CONTROL!$B$52:$B$101,'Funding by District'!D354)&gt;=1,"",ROW()-104)</f>
        <v>354</v>
      </c>
      <c r="N458" s="283"/>
      <c r="O458" s="283"/>
    </row>
    <row r="459" spans="2:15">
      <c r="B459" s="173" t="str">
        <f ca="1"/>
        <v>Maine-Endwell Central School District</v>
      </c>
      <c r="C459" s="175">
        <f>IF(COUNTIF(CONTROL!$B$52:$B$101,'Funding by District'!D355)&gt;=1,"",ROW()-104)</f>
        <v>355</v>
      </c>
      <c r="N459" s="283"/>
      <c r="O459" s="283"/>
    </row>
    <row r="460" spans="2:15">
      <c r="B460" s="173" t="str">
        <f ca="1"/>
        <v>Malone Central School District</v>
      </c>
      <c r="C460" s="175">
        <f>IF(COUNTIF(CONTROL!$B$52:$B$101,'Funding by District'!D356)&gt;=1,"",ROW()-104)</f>
        <v>356</v>
      </c>
      <c r="N460" s="283"/>
      <c r="O460" s="283"/>
    </row>
    <row r="461" spans="2:15">
      <c r="B461" s="173" t="str">
        <f ca="1"/>
        <v>Malverne Union Free School District</v>
      </c>
      <c r="C461" s="175">
        <f>IF(COUNTIF(CONTROL!$B$52:$B$101,'Funding by District'!D357)&gt;=1,"",ROW()-104)</f>
        <v>357</v>
      </c>
      <c r="N461" s="283"/>
      <c r="O461" s="283"/>
    </row>
    <row r="462" spans="2:15">
      <c r="B462" s="173" t="str">
        <f ca="1"/>
        <v>Mamaroneck Union Free School District</v>
      </c>
      <c r="C462" s="175">
        <f>IF(COUNTIF(CONTROL!$B$52:$B$101,'Funding by District'!D358)&gt;=1,"",ROW()-104)</f>
        <v>358</v>
      </c>
      <c r="N462" s="283"/>
      <c r="O462" s="283"/>
    </row>
    <row r="463" spans="2:15">
      <c r="B463" s="173" t="str">
        <f ca="1"/>
        <v>Manchester-Shortsville Central School District</v>
      </c>
      <c r="C463" s="175">
        <f>IF(COUNTIF(CONTROL!$B$52:$B$101,'Funding by District'!D359)&gt;=1,"",ROW()-104)</f>
        <v>359</v>
      </c>
      <c r="N463" s="283"/>
      <c r="O463" s="283"/>
    </row>
    <row r="464" spans="2:15">
      <c r="B464" s="173" t="str">
        <f ca="1"/>
        <v>Manhasset Union Free School District</v>
      </c>
      <c r="C464" s="175">
        <f>IF(COUNTIF(CONTROL!$B$52:$B$101,'Funding by District'!D360)&gt;=1,"",ROW()-104)</f>
        <v>360</v>
      </c>
      <c r="N464" s="283"/>
      <c r="O464" s="283"/>
    </row>
    <row r="465" spans="2:15">
      <c r="B465" s="173" t="str">
        <f ca="1"/>
        <v>Marathon Central School District</v>
      </c>
      <c r="C465" s="175">
        <f>IF(COUNTIF(CONTROL!$B$52:$B$101,'Funding by District'!D361)&gt;=1,"",ROW()-104)</f>
        <v>361</v>
      </c>
      <c r="N465" s="283"/>
      <c r="O465" s="283"/>
    </row>
    <row r="466" spans="2:15">
      <c r="B466" s="173" t="str">
        <f ca="1"/>
        <v>Marcellus Central School District</v>
      </c>
      <c r="C466" s="175">
        <f>IF(COUNTIF(CONTROL!$B$52:$B$101,'Funding by District'!D362)&gt;=1,"",ROW()-104)</f>
        <v>362</v>
      </c>
      <c r="N466" s="283"/>
      <c r="O466" s="283"/>
    </row>
    <row r="467" spans="2:15">
      <c r="B467" s="173" t="str">
        <f ca="1"/>
        <v>Marcus Whitman Central School District</v>
      </c>
      <c r="C467" s="175">
        <f>IF(COUNTIF(CONTROL!$B$52:$B$101,'Funding by District'!D363)&gt;=1,"",ROW()-104)</f>
        <v>363</v>
      </c>
      <c r="N467" s="283"/>
      <c r="O467" s="283"/>
    </row>
    <row r="468" spans="2:15">
      <c r="B468" s="173" t="str">
        <f ca="1"/>
        <v>Margaretville Central School District</v>
      </c>
      <c r="C468" s="175">
        <f>IF(COUNTIF(CONTROL!$B$52:$B$101,'Funding by District'!D364)&gt;=1,"",ROW()-104)</f>
        <v>364</v>
      </c>
      <c r="N468" s="283"/>
      <c r="O468" s="283"/>
    </row>
    <row r="469" spans="2:15">
      <c r="B469" s="173" t="str">
        <f ca="1"/>
        <v>Marion Central School District</v>
      </c>
      <c r="C469" s="175">
        <f>IF(COUNTIF(CONTROL!$B$52:$B$101,'Funding by District'!D365)&gt;=1,"",ROW()-104)</f>
        <v>365</v>
      </c>
      <c r="N469" s="283"/>
      <c r="O469" s="283"/>
    </row>
    <row r="470" spans="2:15">
      <c r="B470" s="173" t="str">
        <f ca="1"/>
        <v>Marlboro Central School District</v>
      </c>
      <c r="C470" s="175">
        <f>IF(COUNTIF(CONTROL!$B$52:$B$101,'Funding by District'!D366)&gt;=1,"",ROW()-104)</f>
        <v>366</v>
      </c>
      <c r="N470" s="283"/>
      <c r="O470" s="283"/>
    </row>
    <row r="471" spans="2:15">
      <c r="B471" s="173" t="str">
        <f ca="1"/>
        <v>Maryvale Union Free School District</v>
      </c>
      <c r="C471" s="175">
        <f>IF(COUNTIF(CONTROL!$B$52:$B$101,'Funding by District'!D367)&gt;=1,"",ROW()-104)</f>
        <v>367</v>
      </c>
      <c r="N471" s="283"/>
      <c r="O471" s="283"/>
    </row>
    <row r="472" spans="2:15">
      <c r="B472" s="173" t="str">
        <f ca="1"/>
        <v>Massapequa Union Free School District</v>
      </c>
      <c r="C472" s="175">
        <f>IF(COUNTIF(CONTROL!$B$52:$B$101,'Funding by District'!D368)&gt;=1,"",ROW()-104)</f>
        <v>368</v>
      </c>
      <c r="N472" s="283"/>
      <c r="O472" s="283"/>
    </row>
    <row r="473" spans="2:15">
      <c r="B473" s="173" t="str">
        <f ca="1"/>
        <v>Massena Central School District</v>
      </c>
      <c r="C473" s="175">
        <f>IF(COUNTIF(CONTROL!$B$52:$B$101,'Funding by District'!D369)&gt;=1,"",ROW()-104)</f>
        <v>369</v>
      </c>
      <c r="N473" s="283"/>
      <c r="O473" s="283"/>
    </row>
    <row r="474" spans="2:15">
      <c r="B474" s="173" t="str">
        <f ca="1"/>
        <v>Mattituck-Cutchogue Union Free School District</v>
      </c>
      <c r="C474" s="175">
        <f>IF(COUNTIF(CONTROL!$B$52:$B$101,'Funding by District'!D370)&gt;=1,"",ROW()-104)</f>
        <v>370</v>
      </c>
      <c r="N474" s="283"/>
      <c r="O474" s="283"/>
    </row>
    <row r="475" spans="2:15">
      <c r="B475" s="173" t="str">
        <f ca="1"/>
        <v>Mayfield Central School District</v>
      </c>
      <c r="C475" s="175">
        <f>IF(COUNTIF(CONTROL!$B$52:$B$101,'Funding by District'!D371)&gt;=1,"",ROW()-104)</f>
        <v>371</v>
      </c>
      <c r="N475" s="283"/>
      <c r="O475" s="283"/>
    </row>
    <row r="476" spans="2:15">
      <c r="B476" s="173" t="str">
        <f ca="1"/>
        <v>McGraw Central School District</v>
      </c>
      <c r="C476" s="175">
        <f>IF(COUNTIF(CONTROL!$B$52:$B$101,'Funding by District'!D372)&gt;=1,"",ROW()-104)</f>
        <v>372</v>
      </c>
      <c r="N476" s="283"/>
      <c r="O476" s="283"/>
    </row>
    <row r="477" spans="2:15">
      <c r="B477" s="173" t="str">
        <f ca="1"/>
        <v>Mechanicville City School District</v>
      </c>
      <c r="C477" s="175">
        <f>IF(COUNTIF(CONTROL!$B$52:$B$101,'Funding by District'!D373)&gt;=1,"",ROW()-104)</f>
        <v>373</v>
      </c>
      <c r="N477" s="283"/>
      <c r="O477" s="283"/>
    </row>
    <row r="478" spans="2:15">
      <c r="B478" s="173" t="str">
        <f ca="1"/>
        <v>Medina Central School District</v>
      </c>
      <c r="C478" s="175">
        <f>IF(COUNTIF(CONTROL!$B$52:$B$101,'Funding by District'!D374)&gt;=1,"",ROW()-104)</f>
        <v>374</v>
      </c>
      <c r="N478" s="283"/>
      <c r="O478" s="283"/>
    </row>
    <row r="479" spans="2:15">
      <c r="B479" s="173" t="str">
        <f ca="1"/>
        <v>Menands Union Free School District</v>
      </c>
      <c r="C479" s="175">
        <f>IF(COUNTIF(CONTROL!$B$52:$B$101,'Funding by District'!D375)&gt;=1,"",ROW()-104)</f>
        <v>375</v>
      </c>
      <c r="N479" s="283"/>
      <c r="O479" s="283"/>
    </row>
    <row r="480" spans="2:15">
      <c r="B480" s="173" t="str">
        <f ca="1"/>
        <v>Merrick Union Free School District</v>
      </c>
      <c r="C480" s="175">
        <f>IF(COUNTIF(CONTROL!$B$52:$B$101,'Funding by District'!D376)&gt;=1,"",ROW()-104)</f>
        <v>376</v>
      </c>
      <c r="N480" s="283"/>
      <c r="O480" s="283"/>
    </row>
    <row r="481" spans="2:15">
      <c r="B481" s="173" t="str">
        <f ca="1"/>
        <v>Mexico Academy and Central School District</v>
      </c>
      <c r="C481" s="175">
        <f>IF(COUNTIF(CONTROL!$B$52:$B$101,'Funding by District'!D377)&gt;=1,"",ROW()-104)</f>
        <v>377</v>
      </c>
      <c r="N481" s="283"/>
      <c r="O481" s="283"/>
    </row>
    <row r="482" spans="2:15">
      <c r="B482" s="173" t="str">
        <f ca="1"/>
        <v>Middle Country Central School District</v>
      </c>
      <c r="C482" s="175">
        <f>IF(COUNTIF(CONTROL!$B$52:$B$101,'Funding by District'!D378)&gt;=1,"",ROW()-104)</f>
        <v>378</v>
      </c>
      <c r="N482" s="283"/>
      <c r="O482" s="283"/>
    </row>
    <row r="483" spans="2:15">
      <c r="B483" s="173" t="str">
        <f ca="1"/>
        <v>Middleburgh Central School District</v>
      </c>
      <c r="C483" s="175">
        <f>IF(COUNTIF(CONTROL!$B$52:$B$101,'Funding by District'!D379)&gt;=1,"",ROW()-104)</f>
        <v>379</v>
      </c>
      <c r="N483" s="283"/>
      <c r="O483" s="283"/>
    </row>
    <row r="484" spans="2:15">
      <c r="B484" s="173" t="str">
        <f ca="1"/>
        <v>Middletown Enlarged City School District</v>
      </c>
      <c r="C484" s="175">
        <f>IF(COUNTIF(CONTROL!$B$52:$B$101,'Funding by District'!D380)&gt;=1,"",ROW()-104)</f>
        <v>380</v>
      </c>
      <c r="N484" s="283"/>
      <c r="O484" s="283"/>
    </row>
    <row r="485" spans="2:15">
      <c r="B485" s="173" t="str">
        <f ca="1"/>
        <v>Milford Central School District</v>
      </c>
      <c r="C485" s="175">
        <f>IF(COUNTIF(CONTROL!$B$52:$B$101,'Funding by District'!D381)&gt;=1,"",ROW()-104)</f>
        <v>381</v>
      </c>
      <c r="N485" s="283"/>
      <c r="O485" s="283"/>
    </row>
    <row r="486" spans="2:15">
      <c r="B486" s="173" t="str">
        <f ca="1"/>
        <v>Millbrook Central School District</v>
      </c>
      <c r="C486" s="175">
        <f>IF(COUNTIF(CONTROL!$B$52:$B$101,'Funding by District'!D382)&gt;=1,"",ROW()-104)</f>
        <v>382</v>
      </c>
      <c r="N486" s="283"/>
      <c r="O486" s="283"/>
    </row>
    <row r="487" spans="2:15">
      <c r="B487" s="173" t="str">
        <f ca="1"/>
        <v>Miller Place Union Free School District</v>
      </c>
      <c r="C487" s="175">
        <f>IF(COUNTIF(CONTROL!$B$52:$B$101,'Funding by District'!D383)&gt;=1,"",ROW()-104)</f>
        <v>383</v>
      </c>
      <c r="N487" s="283"/>
      <c r="O487" s="283"/>
    </row>
    <row r="488" spans="2:15">
      <c r="B488" s="173" t="str">
        <f ca="1"/>
        <v>Mineola Union Free School District</v>
      </c>
      <c r="C488" s="175">
        <f>IF(COUNTIF(CONTROL!$B$52:$B$101,'Funding by District'!D384)&gt;=1,"",ROW()-104)</f>
        <v>384</v>
      </c>
      <c r="N488" s="283"/>
      <c r="O488" s="283"/>
    </row>
    <row r="489" spans="2:15">
      <c r="B489" s="173" t="str">
        <f ca="1"/>
        <v>Minerva Central School District</v>
      </c>
      <c r="C489" s="175">
        <f>IF(COUNTIF(CONTROL!$B$52:$B$101,'Funding by District'!D385)&gt;=1,"",ROW()-104)</f>
        <v>385</v>
      </c>
      <c r="N489" s="283"/>
      <c r="O489" s="283"/>
    </row>
    <row r="490" spans="2:15">
      <c r="B490" s="173" t="str">
        <f ca="1"/>
        <v>Minisink Valley Central School District</v>
      </c>
      <c r="C490" s="175">
        <f>IF(COUNTIF(CONTROL!$B$52:$B$101,'Funding by District'!D386)&gt;=1,"",ROW()-104)</f>
        <v>386</v>
      </c>
      <c r="N490" s="283"/>
      <c r="O490" s="283"/>
    </row>
    <row r="491" spans="2:15">
      <c r="B491" s="173" t="str">
        <f ca="1"/>
        <v>Mohonasen Central School District</v>
      </c>
      <c r="C491" s="175">
        <f>IF(COUNTIF(CONTROL!$B$52:$B$101,'Funding by District'!D387)&gt;=1,"",ROW()-104)</f>
        <v>387</v>
      </c>
      <c r="N491" s="283"/>
      <c r="O491" s="283"/>
    </row>
    <row r="492" spans="2:15">
      <c r="B492" s="173" t="str">
        <f ca="1"/>
        <v>Monroe-Woodbury Central School District</v>
      </c>
      <c r="C492" s="175">
        <f>IF(COUNTIF(CONTROL!$B$52:$B$101,'Funding by District'!D388)&gt;=1,"",ROW()-104)</f>
        <v>388</v>
      </c>
      <c r="N492" s="283"/>
      <c r="O492" s="283"/>
    </row>
    <row r="493" spans="2:15">
      <c r="B493" s="173" t="str">
        <f ca="1"/>
        <v>Montauk Union Free School District</v>
      </c>
      <c r="C493" s="175">
        <f>IF(COUNTIF(CONTROL!$B$52:$B$101,'Funding by District'!D389)&gt;=1,"",ROW()-104)</f>
        <v>389</v>
      </c>
      <c r="N493" s="283"/>
      <c r="O493" s="283"/>
    </row>
    <row r="494" spans="2:15">
      <c r="B494" s="173" t="str">
        <f ca="1"/>
        <v>Monticello Central School District</v>
      </c>
      <c r="C494" s="175">
        <f>IF(COUNTIF(CONTROL!$B$52:$B$101,'Funding by District'!D390)&gt;=1,"",ROW()-104)</f>
        <v>390</v>
      </c>
      <c r="N494" s="283"/>
      <c r="O494" s="283"/>
    </row>
    <row r="495" spans="2:15">
      <c r="B495" s="173" t="str">
        <f ca="1"/>
        <v>Moravia Central School District</v>
      </c>
      <c r="C495" s="175">
        <f>IF(COUNTIF(CONTROL!$B$52:$B$101,'Funding by District'!D391)&gt;=1,"",ROW()-104)</f>
        <v>391</v>
      </c>
      <c r="N495" s="283"/>
      <c r="O495" s="283"/>
    </row>
    <row r="496" spans="2:15">
      <c r="B496" s="173" t="str">
        <f ca="1"/>
        <v>Moriah Central School District</v>
      </c>
      <c r="C496" s="175">
        <f>IF(COUNTIF(CONTROL!$B$52:$B$101,'Funding by District'!D392)&gt;=1,"",ROW()-104)</f>
        <v>392</v>
      </c>
      <c r="N496" s="283"/>
      <c r="O496" s="283"/>
    </row>
    <row r="497" spans="2:15">
      <c r="B497" s="173" t="str">
        <f ca="1"/>
        <v>Morris Central School District</v>
      </c>
      <c r="C497" s="175">
        <f>IF(COUNTIF(CONTROL!$B$52:$B$101,'Funding by District'!D393)&gt;=1,"",ROW()-104)</f>
        <v>393</v>
      </c>
      <c r="N497" s="283"/>
      <c r="O497" s="283"/>
    </row>
    <row r="498" spans="2:15">
      <c r="B498" s="173" t="str">
        <f ca="1"/>
        <v>Morristown Central School District</v>
      </c>
      <c r="C498" s="175">
        <f>IF(COUNTIF(CONTROL!$B$52:$B$101,'Funding by District'!D394)&gt;=1,"",ROW()-104)</f>
        <v>394</v>
      </c>
      <c r="N498" s="283"/>
      <c r="O498" s="283"/>
    </row>
    <row r="499" spans="2:15">
      <c r="B499" s="173" t="str">
        <f ca="1"/>
        <v>Morrisville-Eaton Central School District</v>
      </c>
      <c r="C499" s="175">
        <f>IF(COUNTIF(CONTROL!$B$52:$B$101,'Funding by District'!D395)&gt;=1,"",ROW()-104)</f>
        <v>395</v>
      </c>
      <c r="N499" s="283"/>
      <c r="O499" s="283"/>
    </row>
    <row r="500" spans="2:15">
      <c r="B500" s="173" t="str">
        <f ca="1"/>
        <v>Mount Markham Central School District</v>
      </c>
      <c r="C500" s="175">
        <f>IF(COUNTIF(CONTROL!$B$52:$B$101,'Funding by District'!D396)&gt;=1,"",ROW()-104)</f>
        <v>396</v>
      </c>
      <c r="N500" s="283"/>
      <c r="O500" s="283"/>
    </row>
    <row r="501" spans="2:15">
      <c r="B501" s="173" t="str">
        <f ca="1"/>
        <v>Mount Morris Central School District</v>
      </c>
      <c r="C501" s="175">
        <f>IF(COUNTIF(CONTROL!$B$52:$B$101,'Funding by District'!D397)&gt;=1,"",ROW()-104)</f>
        <v>397</v>
      </c>
      <c r="N501" s="283"/>
      <c r="O501" s="283"/>
    </row>
    <row r="502" spans="2:15">
      <c r="B502" s="173" t="str">
        <f ca="1"/>
        <v>Mount Pleasant Central School District</v>
      </c>
      <c r="C502" s="175">
        <f>IF(COUNTIF(CONTROL!$B$52:$B$101,'Funding by District'!D398)&gt;=1,"",ROW()-104)</f>
        <v>398</v>
      </c>
      <c r="N502" s="283"/>
      <c r="O502" s="283"/>
    </row>
    <row r="503" spans="2:15">
      <c r="B503" s="173" t="str">
        <f ca="1"/>
        <v>Mount Sinai Union Free School District</v>
      </c>
      <c r="C503" s="175">
        <f>IF(COUNTIF(CONTROL!$B$52:$B$101,'Funding by District'!D399)&gt;=1,"",ROW()-104)</f>
        <v>399</v>
      </c>
      <c r="N503" s="283"/>
      <c r="O503" s="283"/>
    </row>
    <row r="504" spans="2:15">
      <c r="B504" s="173" t="str">
        <f ca="1"/>
        <v>Mount Vernon City School District</v>
      </c>
      <c r="C504" s="175">
        <f>IF(COUNTIF(CONTROL!$B$52:$B$101,'Funding by District'!D400)&gt;=1,"",ROW()-104)</f>
        <v>400</v>
      </c>
      <c r="N504" s="283"/>
      <c r="O504" s="283"/>
    </row>
    <row r="505" spans="2:15">
      <c r="B505" s="173" t="str">
        <f ca="1"/>
        <v>Nanuet Union Free School District</v>
      </c>
      <c r="C505" s="175">
        <f>IF(COUNTIF(CONTROL!$B$52:$B$101,'Funding by District'!D401)&gt;=1,"",ROW()-104)</f>
        <v>401</v>
      </c>
      <c r="N505" s="283"/>
      <c r="O505" s="283"/>
    </row>
    <row r="506" spans="2:15">
      <c r="B506" s="173" t="str">
        <f ca="1"/>
        <v>Naples Central School District</v>
      </c>
      <c r="C506" s="175">
        <f>IF(COUNTIF(CONTROL!$B$52:$B$101,'Funding by District'!D402)&gt;=1,"",ROW()-104)</f>
        <v>402</v>
      </c>
      <c r="N506" s="283"/>
      <c r="O506" s="283"/>
    </row>
    <row r="507" spans="2:15">
      <c r="B507" s="173" t="str">
        <f ca="1"/>
        <v>New Hartford Central School District</v>
      </c>
      <c r="C507" s="175">
        <f>IF(COUNTIF(CONTROL!$B$52:$B$101,'Funding by District'!D403)&gt;=1,"",ROW()-104)</f>
        <v>403</v>
      </c>
      <c r="N507" s="283"/>
      <c r="O507" s="283"/>
    </row>
    <row r="508" spans="2:15">
      <c r="B508" s="173" t="str">
        <f ca="1"/>
        <v>New Hyde Park-Garden City Park Union Free School District</v>
      </c>
      <c r="C508" s="175">
        <f>IF(COUNTIF(CONTROL!$B$52:$B$101,'Funding by District'!D404)&gt;=1,"",ROW()-104)</f>
        <v>404</v>
      </c>
      <c r="N508" s="283"/>
      <c r="O508" s="283"/>
    </row>
    <row r="509" spans="2:15">
      <c r="B509" s="173" t="str">
        <f ca="1"/>
        <v>New Lebanon Central School District</v>
      </c>
      <c r="C509" s="175">
        <f>IF(COUNTIF(CONTROL!$B$52:$B$101,'Funding by District'!D405)&gt;=1,"",ROW()-104)</f>
        <v>405</v>
      </c>
      <c r="N509" s="283"/>
      <c r="O509" s="283"/>
    </row>
    <row r="510" spans="2:15">
      <c r="B510" s="173" t="str">
        <f ca="1"/>
        <v>New Paltz Central School District</v>
      </c>
      <c r="C510" s="175">
        <f>IF(COUNTIF(CONTROL!$B$52:$B$101,'Funding by District'!D406)&gt;=1,"",ROW()-104)</f>
        <v>406</v>
      </c>
      <c r="N510" s="283"/>
      <c r="O510" s="283"/>
    </row>
    <row r="511" spans="2:15">
      <c r="B511" s="173" t="str">
        <f ca="1"/>
        <v>New Rochelle City School District</v>
      </c>
      <c r="C511" s="175">
        <f>IF(COUNTIF(CONTROL!$B$52:$B$101,'Funding by District'!D407)&gt;=1,"",ROW()-104)</f>
        <v>407</v>
      </c>
      <c r="N511" s="283"/>
      <c r="O511" s="283"/>
    </row>
    <row r="512" spans="2:15">
      <c r="B512" s="173" t="str">
        <f ca="1"/>
        <v>New Suffolk Common School District</v>
      </c>
      <c r="C512" s="175">
        <f>IF(COUNTIF(CONTROL!$B$52:$B$101,'Funding by District'!D408)&gt;=1,"",ROW()-104)</f>
        <v>408</v>
      </c>
      <c r="N512" s="283"/>
      <c r="O512" s="283"/>
    </row>
    <row r="513" spans="2:15">
      <c r="B513" s="173" t="str">
        <f ca="1"/>
        <v>New York City Department of Education</v>
      </c>
      <c r="C513" s="175">
        <f>IF(COUNTIF(CONTROL!$B$52:$B$101,'Funding by District'!D409)&gt;=1,"",ROW()-104)</f>
        <v>409</v>
      </c>
      <c r="N513" s="283"/>
      <c r="O513" s="283"/>
    </row>
    <row r="514" spans="2:15">
      <c r="B514" s="173" t="str">
        <f ca="1"/>
        <v>New York Mills Union Free School District</v>
      </c>
      <c r="C514" s="175">
        <f>IF(COUNTIF(CONTROL!$B$52:$B$101,'Funding by District'!D410)&gt;=1,"",ROW()-104)</f>
        <v>410</v>
      </c>
      <c r="N514" s="283"/>
      <c r="O514" s="283"/>
    </row>
    <row r="515" spans="2:15">
      <c r="B515" s="173" t="str">
        <f ca="1"/>
        <v>Newark Central School District</v>
      </c>
      <c r="C515" s="175">
        <f>IF(COUNTIF(CONTROL!$B$52:$B$101,'Funding by District'!D411)&gt;=1,"",ROW()-104)</f>
        <v>411</v>
      </c>
      <c r="N515" s="283"/>
      <c r="O515" s="283"/>
    </row>
    <row r="516" spans="2:15">
      <c r="B516" s="173" t="str">
        <f ca="1"/>
        <v>Newark Valley Central School District</v>
      </c>
      <c r="C516" s="175">
        <f>IF(COUNTIF(CONTROL!$B$52:$B$101,'Funding by District'!D412)&gt;=1,"",ROW()-104)</f>
        <v>412</v>
      </c>
      <c r="N516" s="283"/>
      <c r="O516" s="283"/>
    </row>
    <row r="517" spans="2:15">
      <c r="B517" s="173" t="str">
        <f ca="1"/>
        <v>Newburgh Enlarged City School District</v>
      </c>
      <c r="C517" s="175">
        <f>IF(COUNTIF(CONTROL!$B$52:$B$101,'Funding by District'!D413)&gt;=1,"",ROW()-104)</f>
        <v>413</v>
      </c>
      <c r="N517" s="283"/>
      <c r="O517" s="283"/>
    </row>
    <row r="518" spans="2:15">
      <c r="B518" s="173" t="str">
        <f ca="1"/>
        <v>Newcomb Central School District</v>
      </c>
      <c r="C518" s="175">
        <f>IF(COUNTIF(CONTROL!$B$52:$B$101,'Funding by District'!D414)&gt;=1,"",ROW()-104)</f>
        <v>414</v>
      </c>
      <c r="N518" s="283"/>
      <c r="O518" s="283"/>
    </row>
    <row r="519" spans="2:15">
      <c r="B519" s="173" t="str">
        <f ca="1"/>
        <v>Newfane Central School District</v>
      </c>
      <c r="C519" s="175">
        <f>IF(COUNTIF(CONTROL!$B$52:$B$101,'Funding by District'!D415)&gt;=1,"",ROW()-104)</f>
        <v>415</v>
      </c>
      <c r="N519" s="283"/>
      <c r="O519" s="283"/>
    </row>
    <row r="520" spans="2:15">
      <c r="B520" s="173" t="str">
        <f ca="1"/>
        <v>Newfield Central School District</v>
      </c>
      <c r="C520" s="175">
        <f>IF(COUNTIF(CONTROL!$B$52:$B$101,'Funding by District'!D416)&gt;=1,"",ROW()-104)</f>
        <v>416</v>
      </c>
      <c r="N520" s="283"/>
      <c r="O520" s="283"/>
    </row>
    <row r="521" spans="2:15">
      <c r="B521" s="173" t="str">
        <f ca="1"/>
        <v>Niagara Falls City School District</v>
      </c>
      <c r="C521" s="175">
        <f>IF(COUNTIF(CONTROL!$B$52:$B$101,'Funding by District'!D417)&gt;=1,"",ROW()-104)</f>
        <v>417</v>
      </c>
      <c r="N521" s="283"/>
      <c r="O521" s="283"/>
    </row>
    <row r="522" spans="2:15">
      <c r="B522" s="173" t="str">
        <f ca="1"/>
        <v>Niagara-Wheatfield Central School District</v>
      </c>
      <c r="C522" s="175">
        <f>IF(COUNTIF(CONTROL!$B$52:$B$101,'Funding by District'!D418)&gt;=1,"",ROW()-104)</f>
        <v>418</v>
      </c>
      <c r="N522" s="283"/>
      <c r="O522" s="283"/>
    </row>
    <row r="523" spans="2:15">
      <c r="B523" s="173" t="str">
        <f ca="1"/>
        <v>Niskayuna Central School District</v>
      </c>
      <c r="C523" s="175">
        <f>IF(COUNTIF(CONTROL!$B$52:$B$101,'Funding by District'!D419)&gt;=1,"",ROW()-104)</f>
        <v>419</v>
      </c>
      <c r="N523" s="283"/>
      <c r="O523" s="283"/>
    </row>
    <row r="524" spans="2:15">
      <c r="B524" s="173" t="str">
        <f ca="1"/>
        <v>North Babylon Union Free School District</v>
      </c>
      <c r="C524" s="175">
        <f>IF(COUNTIF(CONTROL!$B$52:$B$101,'Funding by District'!D420)&gt;=1,"",ROW()-104)</f>
        <v>420</v>
      </c>
      <c r="N524" s="283"/>
      <c r="O524" s="283"/>
    </row>
    <row r="525" spans="2:15">
      <c r="B525" s="173" t="str">
        <f ca="1"/>
        <v>North Bellmore Union Free School District</v>
      </c>
      <c r="C525" s="175">
        <f>IF(COUNTIF(CONTROL!$B$52:$B$101,'Funding by District'!D421)&gt;=1,"",ROW()-104)</f>
        <v>421</v>
      </c>
      <c r="N525" s="283"/>
      <c r="O525" s="283"/>
    </row>
    <row r="526" spans="2:15">
      <c r="B526" s="173" t="str">
        <f ca="1"/>
        <v>North Collins Central School District</v>
      </c>
      <c r="C526" s="175">
        <f>IF(COUNTIF(CONTROL!$B$52:$B$101,'Funding by District'!D422)&gt;=1,"",ROW()-104)</f>
        <v>422</v>
      </c>
      <c r="N526" s="283"/>
      <c r="O526" s="283"/>
    </row>
    <row r="527" spans="2:15">
      <c r="B527" s="173" t="str">
        <f ca="1"/>
        <v>North Colonie Central School District</v>
      </c>
      <c r="C527" s="175">
        <f>IF(COUNTIF(CONTROL!$B$52:$B$101,'Funding by District'!D423)&gt;=1,"",ROW()-104)</f>
        <v>423</v>
      </c>
      <c r="N527" s="283"/>
      <c r="O527" s="283"/>
    </row>
    <row r="528" spans="2:15">
      <c r="B528" s="173" t="str">
        <f ca="1"/>
        <v>North Greenbush Common School District</v>
      </c>
      <c r="C528" s="175">
        <f>IF(COUNTIF(CONTROL!$B$52:$B$101,'Funding by District'!D424)&gt;=1,"",ROW()-104)</f>
        <v>424</v>
      </c>
      <c r="N528" s="283"/>
      <c r="O528" s="283"/>
    </row>
    <row r="529" spans="2:15">
      <c r="B529" s="173" t="str">
        <f ca="1"/>
        <v>North Merrick Union Free School District</v>
      </c>
      <c r="C529" s="175">
        <f>IF(COUNTIF(CONTROL!$B$52:$B$101,'Funding by District'!D425)&gt;=1,"",ROW()-104)</f>
        <v>425</v>
      </c>
      <c r="N529" s="283"/>
      <c r="O529" s="283"/>
    </row>
    <row r="530" spans="2:15">
      <c r="B530" s="173" t="str">
        <f ca="1"/>
        <v>North Rockland Central School District</v>
      </c>
      <c r="C530" s="175">
        <f>IF(COUNTIF(CONTROL!$B$52:$B$101,'Funding by District'!D426)&gt;=1,"",ROW()-104)</f>
        <v>426</v>
      </c>
      <c r="N530" s="283"/>
      <c r="O530" s="283"/>
    </row>
    <row r="531" spans="2:15">
      <c r="B531" s="173" t="str">
        <f ca="1"/>
        <v>North Rose-Wolcott Central School District</v>
      </c>
      <c r="C531" s="175">
        <f>IF(COUNTIF(CONTROL!$B$52:$B$101,'Funding by District'!D427)&gt;=1,"",ROW()-104)</f>
        <v>427</v>
      </c>
      <c r="N531" s="283"/>
      <c r="O531" s="283"/>
    </row>
    <row r="532" spans="2:15">
      <c r="B532" s="173" t="str">
        <f ca="1"/>
        <v>North Salem Central School District</v>
      </c>
      <c r="C532" s="175">
        <f>IF(COUNTIF(CONTROL!$B$52:$B$101,'Funding by District'!D428)&gt;=1,"",ROW()-104)</f>
        <v>428</v>
      </c>
      <c r="N532" s="283"/>
      <c r="O532" s="283"/>
    </row>
    <row r="533" spans="2:15">
      <c r="B533" s="173" t="str">
        <f ca="1"/>
        <v>North Shore Central School District</v>
      </c>
      <c r="C533" s="175">
        <f>IF(COUNTIF(CONTROL!$B$52:$B$101,'Funding by District'!D429)&gt;=1,"",ROW()-104)</f>
        <v>429</v>
      </c>
      <c r="N533" s="283"/>
      <c r="O533" s="283"/>
    </row>
    <row r="534" spans="2:15">
      <c r="B534" s="173" t="str">
        <f ca="1"/>
        <v>North Syracuse Central School District</v>
      </c>
      <c r="C534" s="175">
        <f>IF(COUNTIF(CONTROL!$B$52:$B$101,'Funding by District'!D430)&gt;=1,"",ROW()-104)</f>
        <v>430</v>
      </c>
      <c r="N534" s="283"/>
      <c r="O534" s="283"/>
    </row>
    <row r="535" spans="2:15">
      <c r="B535" s="173" t="str">
        <f ca="1"/>
        <v>North Tonawanda City School District</v>
      </c>
      <c r="C535" s="175">
        <f>IF(COUNTIF(CONTROL!$B$52:$B$101,'Funding by District'!D431)&gt;=1,"",ROW()-104)</f>
        <v>431</v>
      </c>
      <c r="N535" s="283"/>
      <c r="O535" s="283"/>
    </row>
    <row r="536" spans="2:15">
      <c r="B536" s="173" t="str">
        <f ca="1"/>
        <v>North Warren Central School District</v>
      </c>
      <c r="C536" s="175">
        <f>IF(COUNTIF(CONTROL!$B$52:$B$101,'Funding by District'!D432)&gt;=1,"",ROW()-104)</f>
        <v>432</v>
      </c>
      <c r="N536" s="283"/>
      <c r="O536" s="283"/>
    </row>
    <row r="537" spans="2:15">
      <c r="B537" s="173" t="str">
        <f ca="1"/>
        <v>Northeastern Clinton Central School District</v>
      </c>
      <c r="C537" s="175">
        <f>IF(COUNTIF(CONTROL!$B$52:$B$101,'Funding by District'!D433)&gt;=1,"",ROW()-104)</f>
        <v>433</v>
      </c>
      <c r="N537" s="283"/>
      <c r="O537" s="283"/>
    </row>
    <row r="538" spans="2:15">
      <c r="B538" s="173" t="str">
        <f ca="1"/>
        <v>Northern Adirondack Central School District</v>
      </c>
      <c r="C538" s="175">
        <f>IF(COUNTIF(CONTROL!$B$52:$B$101,'Funding by District'!D434)&gt;=1,"",ROW()-104)</f>
        <v>434</v>
      </c>
      <c r="N538" s="283"/>
      <c r="O538" s="283"/>
    </row>
    <row r="539" spans="2:15">
      <c r="B539" s="173" t="str">
        <f ca="1"/>
        <v>Northport-East Northport Union Free School District</v>
      </c>
      <c r="C539" s="175">
        <f>IF(COUNTIF(CONTROL!$B$52:$B$101,'Funding by District'!D435)&gt;=1,"",ROW()-104)</f>
        <v>435</v>
      </c>
      <c r="N539" s="283"/>
      <c r="O539" s="283"/>
    </row>
    <row r="540" spans="2:15">
      <c r="B540" s="173" t="str">
        <f ca="1"/>
        <v>Northville Central School District</v>
      </c>
      <c r="C540" s="175">
        <f>IF(COUNTIF(CONTROL!$B$52:$B$101,'Funding by District'!D436)&gt;=1,"",ROW()-104)</f>
        <v>436</v>
      </c>
      <c r="N540" s="283"/>
      <c r="O540" s="283"/>
    </row>
    <row r="541" spans="2:15">
      <c r="B541" s="173" t="str">
        <f ca="1"/>
        <v>Norwich City School District</v>
      </c>
      <c r="C541" s="175">
        <f>IF(COUNTIF(CONTROL!$B$52:$B$101,'Funding by District'!D437)&gt;=1,"",ROW()-104)</f>
        <v>437</v>
      </c>
      <c r="N541" s="283"/>
      <c r="O541" s="283"/>
    </row>
    <row r="542" spans="2:15">
      <c r="B542" s="173" t="str">
        <f ca="1"/>
        <v>Norwood-Norfolk Central School District</v>
      </c>
      <c r="C542" s="175">
        <f>IF(COUNTIF(CONTROL!$B$52:$B$101,'Funding by District'!D438)&gt;=1,"",ROW()-104)</f>
        <v>438</v>
      </c>
      <c r="N542" s="283"/>
      <c r="O542" s="283"/>
    </row>
    <row r="543" spans="2:15">
      <c r="B543" s="173" t="str">
        <f ca="1"/>
        <v>Nyack Union Free School District</v>
      </c>
      <c r="C543" s="175">
        <f>IF(COUNTIF(CONTROL!$B$52:$B$101,'Funding by District'!D439)&gt;=1,"",ROW()-104)</f>
        <v>439</v>
      </c>
      <c r="N543" s="283"/>
      <c r="O543" s="283"/>
    </row>
    <row r="544" spans="2:15">
      <c r="B544" s="173" t="str">
        <f ca="1"/>
        <v>Oakfield-Alabama Central School District</v>
      </c>
      <c r="C544" s="175">
        <f>IF(COUNTIF(CONTROL!$B$52:$B$101,'Funding by District'!D440)&gt;=1,"",ROW()-104)</f>
        <v>440</v>
      </c>
      <c r="N544" s="283"/>
      <c r="O544" s="283"/>
    </row>
    <row r="545" spans="2:15">
      <c r="B545" s="173" t="str">
        <f ca="1"/>
        <v>Oceanside Union Free School District</v>
      </c>
      <c r="C545" s="175">
        <f>IF(COUNTIF(CONTROL!$B$52:$B$101,'Funding by District'!D441)&gt;=1,"",ROW()-104)</f>
        <v>441</v>
      </c>
      <c r="N545" s="283"/>
      <c r="O545" s="283"/>
    </row>
    <row r="546" spans="2:15">
      <c r="B546" s="173" t="str">
        <f ca="1"/>
        <v>Odessa-Montour Central School District</v>
      </c>
      <c r="C546" s="175">
        <f>IF(COUNTIF(CONTROL!$B$52:$B$101,'Funding by District'!D442)&gt;=1,"",ROW()-104)</f>
        <v>442</v>
      </c>
      <c r="N546" s="283"/>
      <c r="O546" s="283"/>
    </row>
    <row r="547" spans="2:15">
      <c r="B547" s="173" t="str">
        <f ca="1"/>
        <v>Ogdensburg City School District</v>
      </c>
      <c r="C547" s="175">
        <f>IF(COUNTIF(CONTROL!$B$52:$B$101,'Funding by District'!D443)&gt;=1,"",ROW()-104)</f>
        <v>443</v>
      </c>
      <c r="N547" s="283"/>
      <c r="O547" s="283"/>
    </row>
    <row r="548" spans="2:15">
      <c r="B548" s="173" t="str">
        <f ca="1"/>
        <v>Olean City School District</v>
      </c>
      <c r="C548" s="175">
        <f>IF(COUNTIF(CONTROL!$B$52:$B$101,'Funding by District'!D444)&gt;=1,"",ROW()-104)</f>
        <v>444</v>
      </c>
      <c r="N548" s="283"/>
      <c r="O548" s="283"/>
    </row>
    <row r="549" spans="2:15">
      <c r="B549" s="173" t="str">
        <f ca="1"/>
        <v>Oneida City School District</v>
      </c>
      <c r="C549" s="175">
        <f>IF(COUNTIF(CONTROL!$B$52:$B$101,'Funding by District'!D445)&gt;=1,"",ROW()-104)</f>
        <v>445</v>
      </c>
      <c r="N549" s="283"/>
      <c r="O549" s="283"/>
    </row>
    <row r="550" spans="2:15">
      <c r="B550" s="173" t="str">
        <f ca="1"/>
        <v>Oneonta City School District</v>
      </c>
      <c r="C550" s="175">
        <f>IF(COUNTIF(CONTROL!$B$52:$B$101,'Funding by District'!D446)&gt;=1,"",ROW()-104)</f>
        <v>446</v>
      </c>
      <c r="N550" s="283"/>
      <c r="O550" s="283"/>
    </row>
    <row r="551" spans="2:15">
      <c r="B551" s="173" t="str">
        <f ca="1"/>
        <v>Onondaga Central School District</v>
      </c>
      <c r="C551" s="175">
        <f>IF(COUNTIF(CONTROL!$B$52:$B$101,'Funding by District'!D447)&gt;=1,"",ROW()-104)</f>
        <v>447</v>
      </c>
      <c r="N551" s="283"/>
      <c r="O551" s="283"/>
    </row>
    <row r="552" spans="2:15">
      <c r="B552" s="173" t="str">
        <f ca="1"/>
        <v>Onteora Central School District</v>
      </c>
      <c r="C552" s="175">
        <f>IF(COUNTIF(CONTROL!$B$52:$B$101,'Funding by District'!D448)&gt;=1,"",ROW()-104)</f>
        <v>448</v>
      </c>
      <c r="N552" s="283"/>
      <c r="O552" s="283"/>
    </row>
    <row r="553" spans="2:15">
      <c r="B553" s="173" t="str">
        <f ca="1"/>
        <v>Oppenheim-Ephratah-St. Johnsville Central School District</v>
      </c>
      <c r="C553" s="175">
        <f>IF(COUNTIF(CONTROL!$B$52:$B$101,'Funding by District'!D449)&gt;=1,"",ROW()-104)</f>
        <v>449</v>
      </c>
      <c r="N553" s="283"/>
      <c r="O553" s="283"/>
    </row>
    <row r="554" spans="2:15">
      <c r="B554" s="173" t="str">
        <f ca="1"/>
        <v>Orchard Park Central School District</v>
      </c>
      <c r="C554" s="175">
        <f>IF(COUNTIF(CONTROL!$B$52:$B$101,'Funding by District'!D450)&gt;=1,"",ROW()-104)</f>
        <v>450</v>
      </c>
      <c r="N554" s="283"/>
      <c r="O554" s="283"/>
    </row>
    <row r="555" spans="2:15">
      <c r="B555" s="173" t="str">
        <f ca="1"/>
        <v>Oriskany Central School District</v>
      </c>
      <c r="C555" s="175">
        <f>IF(COUNTIF(CONTROL!$B$52:$B$101,'Funding by District'!D451)&gt;=1,"",ROW()-104)</f>
        <v>451</v>
      </c>
      <c r="N555" s="283"/>
      <c r="O555" s="283"/>
    </row>
    <row r="556" spans="2:15">
      <c r="B556" s="173" t="str">
        <f ca="1"/>
        <v>Ossining Union Free School District</v>
      </c>
      <c r="C556" s="175">
        <f>IF(COUNTIF(CONTROL!$B$52:$B$101,'Funding by District'!D452)&gt;=1,"",ROW()-104)</f>
        <v>452</v>
      </c>
      <c r="N556" s="283"/>
      <c r="O556" s="283"/>
    </row>
    <row r="557" spans="2:15">
      <c r="B557" s="173" t="str">
        <f ca="1"/>
        <v>Oswego City School District</v>
      </c>
      <c r="C557" s="175">
        <f>IF(COUNTIF(CONTROL!$B$52:$B$101,'Funding by District'!D453)&gt;=1,"",ROW()-104)</f>
        <v>453</v>
      </c>
      <c r="N557" s="283"/>
      <c r="O557" s="283"/>
    </row>
    <row r="558" spans="2:15">
      <c r="B558" s="173" t="str">
        <f ca="1"/>
        <v>Otselic Valley Central School District at Georgetown-South Otselic</v>
      </c>
      <c r="C558" s="175">
        <f>IF(COUNTIF(CONTROL!$B$52:$B$101,'Funding by District'!D454)&gt;=1,"",ROW()-104)</f>
        <v>454</v>
      </c>
      <c r="N558" s="283"/>
      <c r="O558" s="283"/>
    </row>
    <row r="559" spans="2:15">
      <c r="B559" s="173" t="str">
        <f ca="1"/>
        <v>Owego-Apalachin Central School District</v>
      </c>
      <c r="C559" s="175">
        <f>IF(COUNTIF(CONTROL!$B$52:$B$101,'Funding by District'!D455)&gt;=1,"",ROW()-104)</f>
        <v>455</v>
      </c>
      <c r="N559" s="283"/>
      <c r="O559" s="283"/>
    </row>
    <row r="560" spans="2:15">
      <c r="B560" s="173" t="str">
        <f ca="1"/>
        <v>Owen D. Young Central School District</v>
      </c>
      <c r="C560" s="175">
        <f>IF(COUNTIF(CONTROL!$B$52:$B$101,'Funding by District'!D456)&gt;=1,"",ROW()-104)</f>
        <v>456</v>
      </c>
      <c r="N560" s="283"/>
      <c r="O560" s="283"/>
    </row>
    <row r="561" spans="2:15">
      <c r="B561" s="173" t="str">
        <f ca="1"/>
        <v>Oxford Academy and Central School District</v>
      </c>
      <c r="C561" s="175">
        <f>IF(COUNTIF(CONTROL!$B$52:$B$101,'Funding by District'!D457)&gt;=1,"",ROW()-104)</f>
        <v>457</v>
      </c>
      <c r="N561" s="283"/>
      <c r="O561" s="283"/>
    </row>
    <row r="562" spans="2:15">
      <c r="B562" s="173" t="str">
        <f ca="1"/>
        <v>Oyster Bay-East Norwich Central School District</v>
      </c>
      <c r="C562" s="175">
        <f>IF(COUNTIF(CONTROL!$B$52:$B$101,'Funding by District'!D458)&gt;=1,"",ROW()-104)</f>
        <v>458</v>
      </c>
      <c r="N562" s="283"/>
      <c r="O562" s="283"/>
    </row>
    <row r="563" spans="2:15">
      <c r="B563" s="173" t="str">
        <f ca="1"/>
        <v>Oysterponds Union Free School District</v>
      </c>
      <c r="C563" s="175">
        <f>IF(COUNTIF(CONTROL!$B$52:$B$101,'Funding by District'!D459)&gt;=1,"",ROW()-104)</f>
        <v>459</v>
      </c>
      <c r="N563" s="283"/>
      <c r="O563" s="283"/>
    </row>
    <row r="564" spans="2:15">
      <c r="B564" s="173" t="str">
        <f ca="1"/>
        <v>Palmyra-Macedon Central School District</v>
      </c>
      <c r="C564" s="175">
        <f>IF(COUNTIF(CONTROL!$B$52:$B$101,'Funding by District'!D460)&gt;=1,"",ROW()-104)</f>
        <v>460</v>
      </c>
      <c r="N564" s="283"/>
      <c r="O564" s="283"/>
    </row>
    <row r="565" spans="2:15">
      <c r="B565" s="173" t="str">
        <f ca="1"/>
        <v>Panama Central School District</v>
      </c>
      <c r="C565" s="175">
        <f>IF(COUNTIF(CONTROL!$B$52:$B$101,'Funding by District'!D461)&gt;=1,"",ROW()-104)</f>
        <v>461</v>
      </c>
      <c r="N565" s="283"/>
      <c r="O565" s="283"/>
    </row>
    <row r="566" spans="2:15">
      <c r="B566" s="173" t="str">
        <f ca="1"/>
        <v>Parishville-Hopkinton Central School District</v>
      </c>
      <c r="C566" s="175">
        <f>IF(COUNTIF(CONTROL!$B$52:$B$101,'Funding by District'!D462)&gt;=1,"",ROW()-104)</f>
        <v>462</v>
      </c>
      <c r="N566" s="283"/>
      <c r="O566" s="283"/>
    </row>
    <row r="567" spans="2:15">
      <c r="B567" s="173" t="str">
        <f ca="1"/>
        <v>Patchogue-Medford Union Free School District</v>
      </c>
      <c r="C567" s="175">
        <f>IF(COUNTIF(CONTROL!$B$52:$B$101,'Funding by District'!D463)&gt;=1,"",ROW()-104)</f>
        <v>463</v>
      </c>
      <c r="N567" s="283"/>
      <c r="O567" s="283"/>
    </row>
    <row r="568" spans="2:15">
      <c r="B568" s="173" t="str">
        <f ca="1"/>
        <v>Pavilion Central School District</v>
      </c>
      <c r="C568" s="175">
        <f>IF(COUNTIF(CONTROL!$B$52:$B$101,'Funding by District'!D464)&gt;=1,"",ROW()-104)</f>
        <v>464</v>
      </c>
      <c r="N568" s="283"/>
      <c r="O568" s="283"/>
    </row>
    <row r="569" spans="2:15">
      <c r="B569" s="173" t="str">
        <f ca="1"/>
        <v>Pawling Central School District</v>
      </c>
      <c r="C569" s="175">
        <f>IF(COUNTIF(CONTROL!$B$52:$B$101,'Funding by District'!D465)&gt;=1,"",ROW()-104)</f>
        <v>465</v>
      </c>
      <c r="N569" s="283"/>
      <c r="O569" s="283"/>
    </row>
    <row r="570" spans="2:15">
      <c r="B570" s="173" t="str">
        <f ca="1"/>
        <v>Pearl River Union Free School District</v>
      </c>
      <c r="C570" s="175">
        <f>IF(COUNTIF(CONTROL!$B$52:$B$101,'Funding by District'!D466)&gt;=1,"",ROW()-104)</f>
        <v>466</v>
      </c>
      <c r="N570" s="283"/>
      <c r="O570" s="283"/>
    </row>
    <row r="571" spans="2:15">
      <c r="B571" s="173" t="str">
        <f ca="1"/>
        <v>Peekskill City School District</v>
      </c>
      <c r="C571" s="175">
        <f>IF(COUNTIF(CONTROL!$B$52:$B$101,'Funding by District'!D467)&gt;=1,"",ROW()-104)</f>
        <v>467</v>
      </c>
      <c r="N571" s="283"/>
      <c r="O571" s="283"/>
    </row>
    <row r="572" spans="2:15">
      <c r="B572" s="173" t="str">
        <f ca="1"/>
        <v>Pelham Union Free School District</v>
      </c>
      <c r="C572" s="175">
        <f>IF(COUNTIF(CONTROL!$B$52:$B$101,'Funding by District'!D468)&gt;=1,"",ROW()-104)</f>
        <v>468</v>
      </c>
      <c r="N572" s="283"/>
      <c r="O572" s="283"/>
    </row>
    <row r="573" spans="2:15">
      <c r="B573" s="173" t="str">
        <f ca="1"/>
        <v>Pembroke Central School District</v>
      </c>
      <c r="C573" s="175">
        <f>IF(COUNTIF(CONTROL!$B$52:$B$101,'Funding by District'!D469)&gt;=1,"",ROW()-104)</f>
        <v>469</v>
      </c>
      <c r="N573" s="283"/>
      <c r="O573" s="283"/>
    </row>
    <row r="574" spans="2:15">
      <c r="B574" s="173" t="str">
        <f ca="1"/>
        <v>Penfield Central School District</v>
      </c>
      <c r="C574" s="175">
        <f>IF(COUNTIF(CONTROL!$B$52:$B$101,'Funding by District'!D470)&gt;=1,"",ROW()-104)</f>
        <v>470</v>
      </c>
      <c r="N574" s="283"/>
      <c r="O574" s="283"/>
    </row>
    <row r="575" spans="2:15">
      <c r="B575" s="173" t="str">
        <f ca="1"/>
        <v>Penn Yan Central School District</v>
      </c>
      <c r="C575" s="175">
        <f>IF(COUNTIF(CONTROL!$B$52:$B$101,'Funding by District'!D471)&gt;=1,"",ROW()-104)</f>
        <v>471</v>
      </c>
      <c r="N575" s="283"/>
      <c r="O575" s="283"/>
    </row>
    <row r="576" spans="2:15">
      <c r="B576" s="173" t="str">
        <f ca="1"/>
        <v>Perry Central School District</v>
      </c>
      <c r="C576" s="175">
        <f>IF(COUNTIF(CONTROL!$B$52:$B$101,'Funding by District'!D472)&gt;=1,"",ROW()-104)</f>
        <v>472</v>
      </c>
      <c r="N576" s="283"/>
      <c r="O576" s="283"/>
    </row>
    <row r="577" spans="2:15">
      <c r="B577" s="173" t="str">
        <f ca="1"/>
        <v>Peru Central School District</v>
      </c>
      <c r="C577" s="175">
        <f>IF(COUNTIF(CONTROL!$B$52:$B$101,'Funding by District'!D473)&gt;=1,"",ROW()-104)</f>
        <v>473</v>
      </c>
      <c r="N577" s="283"/>
      <c r="O577" s="283"/>
    </row>
    <row r="578" spans="2:15">
      <c r="B578" s="173" t="str">
        <f ca="1"/>
        <v>Phelps-Clifton Springs Central School District</v>
      </c>
      <c r="C578" s="175">
        <f>IF(COUNTIF(CONTROL!$B$52:$B$101,'Funding by District'!D474)&gt;=1,"",ROW()-104)</f>
        <v>474</v>
      </c>
      <c r="N578" s="283"/>
      <c r="O578" s="283"/>
    </row>
    <row r="579" spans="2:15">
      <c r="B579" s="173" t="str">
        <f ca="1"/>
        <v>Phoenix Central School District</v>
      </c>
      <c r="C579" s="175">
        <f>IF(COUNTIF(CONTROL!$B$52:$B$101,'Funding by District'!D475)&gt;=1,"",ROW()-104)</f>
        <v>475</v>
      </c>
      <c r="N579" s="283"/>
      <c r="O579" s="283"/>
    </row>
    <row r="580" spans="2:15">
      <c r="B580" s="173" t="str">
        <f ca="1"/>
        <v>Pine Bush Central School District</v>
      </c>
      <c r="C580" s="175">
        <f>IF(COUNTIF(CONTROL!$B$52:$B$101,'Funding by District'!D476)&gt;=1,"",ROW()-104)</f>
        <v>476</v>
      </c>
      <c r="N580" s="283"/>
      <c r="O580" s="283"/>
    </row>
    <row r="581" spans="2:15">
      <c r="B581" s="173" t="str">
        <f ca="1"/>
        <v>Pine Plains Central School District</v>
      </c>
      <c r="C581" s="175">
        <f>IF(COUNTIF(CONTROL!$B$52:$B$101,'Funding by District'!D477)&gt;=1,"",ROW()-104)</f>
        <v>477</v>
      </c>
      <c r="N581" s="283"/>
      <c r="O581" s="283"/>
    </row>
    <row r="582" spans="2:15">
      <c r="B582" s="173" t="str">
        <f ca="1"/>
        <v>Pine Valley Central School District</v>
      </c>
      <c r="C582" s="175">
        <f>IF(COUNTIF(CONTROL!$B$52:$B$101,'Funding by District'!D478)&gt;=1,"",ROW()-104)</f>
        <v>478</v>
      </c>
      <c r="N582" s="283"/>
      <c r="O582" s="283"/>
    </row>
    <row r="583" spans="2:15">
      <c r="B583" s="173" t="str">
        <f ca="1"/>
        <v>Pioneer Central School District</v>
      </c>
      <c r="C583" s="175">
        <f>IF(COUNTIF(CONTROL!$B$52:$B$101,'Funding by District'!D479)&gt;=1,"",ROW()-104)</f>
        <v>479</v>
      </c>
      <c r="N583" s="283"/>
      <c r="O583" s="283"/>
    </row>
    <row r="584" spans="2:15">
      <c r="B584" s="173" t="str">
        <f ca="1"/>
        <v>Pittsford Central School District</v>
      </c>
      <c r="C584" s="175">
        <f>IF(COUNTIF(CONTROL!$B$52:$B$101,'Funding by District'!D480)&gt;=1,"",ROW()-104)</f>
        <v>480</v>
      </c>
      <c r="N584" s="283"/>
      <c r="O584" s="283"/>
    </row>
    <row r="585" spans="2:15">
      <c r="B585" s="173" t="str">
        <f ca="1"/>
        <v>Plainedge Union Free School District</v>
      </c>
      <c r="C585" s="175">
        <f>IF(COUNTIF(CONTROL!$B$52:$B$101,'Funding by District'!D481)&gt;=1,"",ROW()-104)</f>
        <v>481</v>
      </c>
      <c r="N585" s="283"/>
      <c r="O585" s="283"/>
    </row>
    <row r="586" spans="2:15">
      <c r="B586" s="173" t="str">
        <f ca="1"/>
        <v>Plainview-Old Bethpage Central School District</v>
      </c>
      <c r="C586" s="175">
        <f>IF(COUNTIF(CONTROL!$B$52:$B$101,'Funding by District'!D482)&gt;=1,"",ROW()-104)</f>
        <v>482</v>
      </c>
      <c r="N586" s="283"/>
      <c r="O586" s="283"/>
    </row>
    <row r="587" spans="2:15">
      <c r="B587" s="173" t="str">
        <f ca="1"/>
        <v>Plattsburgh City School District</v>
      </c>
      <c r="C587" s="175">
        <f>IF(COUNTIF(CONTROL!$B$52:$B$101,'Funding by District'!D483)&gt;=1,"",ROW()-104)</f>
        <v>483</v>
      </c>
      <c r="N587" s="283"/>
      <c r="O587" s="283"/>
    </row>
    <row r="588" spans="2:15">
      <c r="B588" s="173" t="str">
        <f ca="1"/>
        <v>Pleasantville Union Free School District</v>
      </c>
      <c r="C588" s="175">
        <f>IF(COUNTIF(CONTROL!$B$52:$B$101,'Funding by District'!D484)&gt;=1,"",ROW()-104)</f>
        <v>484</v>
      </c>
      <c r="N588" s="283"/>
      <c r="O588" s="283"/>
    </row>
    <row r="589" spans="2:15">
      <c r="B589" s="173" t="str">
        <f ca="1"/>
        <v>Pocantico Hills Central School District</v>
      </c>
      <c r="C589" s="175">
        <f>IF(COUNTIF(CONTROL!$B$52:$B$101,'Funding by District'!D485)&gt;=1,"",ROW()-104)</f>
        <v>485</v>
      </c>
      <c r="N589" s="283"/>
      <c r="O589" s="283"/>
    </row>
    <row r="590" spans="2:15">
      <c r="B590" s="173" t="str">
        <f ca="1"/>
        <v>Poland Central School District</v>
      </c>
      <c r="C590" s="175">
        <f>IF(COUNTIF(CONTROL!$B$52:$B$101,'Funding by District'!D486)&gt;=1,"",ROW()-104)</f>
        <v>486</v>
      </c>
      <c r="N590" s="283"/>
      <c r="O590" s="283"/>
    </row>
    <row r="591" spans="2:15">
      <c r="B591" s="173" t="str">
        <f ca="1"/>
        <v>Port Byron Central School District</v>
      </c>
      <c r="C591" s="175">
        <f>IF(COUNTIF(CONTROL!$B$52:$B$101,'Funding by District'!D487)&gt;=1,"",ROW()-104)</f>
        <v>487</v>
      </c>
      <c r="N591" s="283"/>
      <c r="O591" s="283"/>
    </row>
    <row r="592" spans="2:15">
      <c r="B592" s="173" t="str">
        <f ca="1"/>
        <v>Port Chester-Rye Union Free School District</v>
      </c>
      <c r="C592" s="175">
        <f>IF(COUNTIF(CONTROL!$B$52:$B$101,'Funding by District'!D488)&gt;=1,"",ROW()-104)</f>
        <v>488</v>
      </c>
      <c r="N592" s="283"/>
      <c r="O592" s="283"/>
    </row>
    <row r="593" spans="2:15">
      <c r="B593" s="173" t="str">
        <f ca="1"/>
        <v>Port Jefferson Union Free School District</v>
      </c>
      <c r="C593" s="175">
        <f>IF(COUNTIF(CONTROL!$B$52:$B$101,'Funding by District'!D489)&gt;=1,"",ROW()-104)</f>
        <v>489</v>
      </c>
      <c r="N593" s="283"/>
      <c r="O593" s="283"/>
    </row>
    <row r="594" spans="2:15">
      <c r="B594" s="173" t="str">
        <f ca="1"/>
        <v>Port Jervis City School District</v>
      </c>
      <c r="C594" s="175">
        <f>IF(COUNTIF(CONTROL!$B$52:$B$101,'Funding by District'!D490)&gt;=1,"",ROW()-104)</f>
        <v>490</v>
      </c>
      <c r="N594" s="283"/>
      <c r="O594" s="283"/>
    </row>
    <row r="595" spans="2:15">
      <c r="B595" s="173" t="str">
        <f ca="1"/>
        <v>Port Washington Union Free School District</v>
      </c>
      <c r="C595" s="175">
        <f>IF(COUNTIF(CONTROL!$B$52:$B$101,'Funding by District'!D491)&gt;=1,"",ROW()-104)</f>
        <v>491</v>
      </c>
      <c r="N595" s="283"/>
      <c r="O595" s="283"/>
    </row>
    <row r="596" spans="2:15">
      <c r="B596" s="173" t="str">
        <f ca="1"/>
        <v>Portville Central School District</v>
      </c>
      <c r="C596" s="175">
        <f>IF(COUNTIF(CONTROL!$B$52:$B$101,'Funding by District'!D492)&gt;=1,"",ROW()-104)</f>
        <v>492</v>
      </c>
      <c r="N596" s="283"/>
      <c r="O596" s="283"/>
    </row>
    <row r="597" spans="2:15">
      <c r="B597" s="173" t="str">
        <f ca="1"/>
        <v>Potsdam Central School District</v>
      </c>
      <c r="C597" s="175">
        <f>IF(COUNTIF(CONTROL!$B$52:$B$101,'Funding by District'!D493)&gt;=1,"",ROW()-104)</f>
        <v>493</v>
      </c>
      <c r="N597" s="283"/>
      <c r="O597" s="283"/>
    </row>
    <row r="598" spans="2:15">
      <c r="B598" s="173" t="str">
        <f ca="1"/>
        <v>Poughkeepsie City School District</v>
      </c>
      <c r="C598" s="175">
        <f>IF(COUNTIF(CONTROL!$B$52:$B$101,'Funding by District'!D494)&gt;=1,"",ROW()-104)</f>
        <v>494</v>
      </c>
      <c r="N598" s="283"/>
      <c r="O598" s="283"/>
    </row>
    <row r="599" spans="2:15">
      <c r="B599" s="173" t="str">
        <f ca="1"/>
        <v>Prattsburgh Central School District</v>
      </c>
      <c r="C599" s="175">
        <f>IF(COUNTIF(CONTROL!$B$52:$B$101,'Funding by District'!D495)&gt;=1,"",ROW()-104)</f>
        <v>495</v>
      </c>
      <c r="N599" s="283"/>
      <c r="O599" s="283"/>
    </row>
    <row r="600" spans="2:15">
      <c r="B600" s="173" t="str">
        <f ca="1"/>
        <v>Pulaski (Academy) Central School District</v>
      </c>
      <c r="C600" s="175">
        <f>IF(COUNTIF(CONTROL!$B$52:$B$101,'Funding by District'!D496)&gt;=1,"",ROW()-104)</f>
        <v>496</v>
      </c>
      <c r="N600" s="283"/>
      <c r="O600" s="283"/>
    </row>
    <row r="601" spans="2:15">
      <c r="B601" s="173" t="str">
        <f ca="1"/>
        <v>Putnam Central School District</v>
      </c>
      <c r="C601" s="175">
        <f>IF(COUNTIF(CONTROL!$B$52:$B$101,'Funding by District'!D497)&gt;=1,"",ROW()-104)</f>
        <v>497</v>
      </c>
      <c r="N601" s="283"/>
      <c r="O601" s="283"/>
    </row>
    <row r="602" spans="2:15">
      <c r="B602" s="173" t="str">
        <f ca="1"/>
        <v>Putnam Valley Central School District</v>
      </c>
      <c r="C602" s="175">
        <f>IF(COUNTIF(CONTROL!$B$52:$B$101,'Funding by District'!D498)&gt;=1,"",ROW()-104)</f>
        <v>498</v>
      </c>
      <c r="N602" s="283"/>
      <c r="O602" s="283"/>
    </row>
    <row r="603" spans="2:15">
      <c r="B603" s="173" t="str">
        <f ca="1"/>
        <v>Queensbury Union Free School District</v>
      </c>
      <c r="C603" s="175">
        <f>IF(COUNTIF(CONTROL!$B$52:$B$101,'Funding by District'!D499)&gt;=1,"",ROW()-104)</f>
        <v>499</v>
      </c>
      <c r="N603" s="283"/>
      <c r="O603" s="283"/>
    </row>
    <row r="604" spans="2:15">
      <c r="B604" s="173" t="str">
        <f ca="1"/>
        <v>Quogue Union Free School District</v>
      </c>
      <c r="C604" s="175">
        <f>IF(COUNTIF(CONTROL!$B$52:$B$101,'Funding by District'!D500)&gt;=1,"",ROW()-104)</f>
        <v>500</v>
      </c>
      <c r="N604" s="283"/>
      <c r="O604" s="283"/>
    </row>
    <row r="605" spans="2:15">
      <c r="B605" s="173" t="str">
        <f ca="1"/>
        <v>Randolph Central School District</v>
      </c>
      <c r="C605" s="175">
        <f>IF(COUNTIF(CONTROL!$B$52:$B$101,'Funding by District'!D501)&gt;=1,"",ROW()-104)</f>
        <v>501</v>
      </c>
      <c r="N605" s="283"/>
      <c r="O605" s="283"/>
    </row>
    <row r="606" spans="2:15">
      <c r="B606" s="173" t="str">
        <f ca="1"/>
        <v>Ravena-Coeymans-Selkirk Central School District</v>
      </c>
      <c r="C606" s="175">
        <f>IF(COUNTIF(CONTROL!$B$52:$B$101,'Funding by District'!D502)&gt;=1,"",ROW()-104)</f>
        <v>502</v>
      </c>
      <c r="N606" s="283"/>
      <c r="O606" s="283"/>
    </row>
    <row r="607" spans="2:15">
      <c r="B607" s="173" t="str">
        <f ca="1"/>
        <v>Red Creek Central School District</v>
      </c>
      <c r="C607" s="175">
        <f>IF(COUNTIF(CONTROL!$B$52:$B$101,'Funding by District'!D503)&gt;=1,"",ROW()-104)</f>
        <v>503</v>
      </c>
      <c r="N607" s="283"/>
      <c r="O607" s="283"/>
    </row>
    <row r="608" spans="2:15">
      <c r="B608" s="173" t="str">
        <f ca="1"/>
        <v>Red Hook Central School District</v>
      </c>
      <c r="C608" s="175">
        <f>IF(COUNTIF(CONTROL!$B$52:$B$101,'Funding by District'!D504)&gt;=1,"",ROW()-104)</f>
        <v>504</v>
      </c>
      <c r="N608" s="283"/>
      <c r="O608" s="283"/>
    </row>
    <row r="609" spans="2:15">
      <c r="B609" s="173" t="str">
        <f ca="1"/>
        <v>Remsen Central School District</v>
      </c>
      <c r="C609" s="175">
        <f>IF(COUNTIF(CONTROL!$B$52:$B$101,'Funding by District'!D505)&gt;=1,"",ROW()-104)</f>
        <v>505</v>
      </c>
      <c r="N609" s="283"/>
      <c r="O609" s="283"/>
    </row>
    <row r="610" spans="2:15">
      <c r="B610" s="173" t="str">
        <f ca="1"/>
        <v>Remsenburg-Speonk Union Free School District</v>
      </c>
      <c r="C610" s="175">
        <f>IF(COUNTIF(CONTROL!$B$52:$B$101,'Funding by District'!D506)&gt;=1,"",ROW()-104)</f>
        <v>506</v>
      </c>
      <c r="N610" s="283"/>
      <c r="O610" s="283"/>
    </row>
    <row r="611" spans="2:15">
      <c r="B611" s="173" t="str">
        <f ca="1"/>
        <v>Rensselaer City School District</v>
      </c>
      <c r="C611" s="175">
        <f>IF(COUNTIF(CONTROL!$B$52:$B$101,'Funding by District'!D507)&gt;=1,"",ROW()-104)</f>
        <v>507</v>
      </c>
      <c r="N611" s="283"/>
      <c r="O611" s="283"/>
    </row>
    <row r="612" spans="2:15">
      <c r="B612" s="173" t="str">
        <f ca="1"/>
        <v>Rhinebeck Central School District</v>
      </c>
      <c r="C612" s="175">
        <f>IF(COUNTIF(CONTROL!$B$52:$B$101,'Funding by District'!D508)&gt;=1,"",ROW()-104)</f>
        <v>508</v>
      </c>
      <c r="N612" s="283"/>
      <c r="O612" s="283"/>
    </row>
    <row r="613" spans="2:15">
      <c r="B613" s="173" t="str">
        <f ca="1"/>
        <v>Richfield Springs Central School District</v>
      </c>
      <c r="C613" s="175">
        <f>IF(COUNTIF(CONTROL!$B$52:$B$101,'Funding by District'!D509)&gt;=1,"",ROW()-104)</f>
        <v>509</v>
      </c>
      <c r="N613" s="283"/>
      <c r="O613" s="283"/>
    </row>
    <row r="614" spans="2:15">
      <c r="B614" s="173" t="str">
        <f ca="1"/>
        <v>Ripley Central School District</v>
      </c>
      <c r="C614" s="175">
        <f>IF(COUNTIF(CONTROL!$B$52:$B$101,'Funding by District'!D510)&gt;=1,"",ROW()-104)</f>
        <v>510</v>
      </c>
      <c r="N614" s="283"/>
      <c r="O614" s="283"/>
    </row>
    <row r="615" spans="2:15">
      <c r="B615" s="173" t="str">
        <f ca="1"/>
        <v>Riverhead Central School District</v>
      </c>
      <c r="C615" s="175">
        <f>IF(COUNTIF(CONTROL!$B$52:$B$101,'Funding by District'!D511)&gt;=1,"",ROW()-104)</f>
        <v>511</v>
      </c>
      <c r="N615" s="283"/>
      <c r="O615" s="283"/>
    </row>
    <row r="616" spans="2:15">
      <c r="B616" s="173" t="str">
        <f ca="1"/>
        <v>Rochester City School District</v>
      </c>
      <c r="C616" s="175">
        <f>IF(COUNTIF(CONTROL!$B$52:$B$101,'Funding by District'!D512)&gt;=1,"",ROW()-104)</f>
        <v>512</v>
      </c>
      <c r="N616" s="283"/>
      <c r="O616" s="283"/>
    </row>
    <row r="617" spans="2:15">
      <c r="B617" s="173" t="str">
        <f ca="1"/>
        <v>Rockville Centre Union Free School District</v>
      </c>
      <c r="C617" s="175">
        <f>IF(COUNTIF(CONTROL!$B$52:$B$101,'Funding by District'!D513)&gt;=1,"",ROW()-104)</f>
        <v>513</v>
      </c>
      <c r="N617" s="283"/>
      <c r="O617" s="283"/>
    </row>
    <row r="618" spans="2:15">
      <c r="B618" s="173" t="str">
        <f ca="1"/>
        <v>Rocky Point Union Free School District</v>
      </c>
      <c r="C618" s="175">
        <f>IF(COUNTIF(CONTROL!$B$52:$B$101,'Funding by District'!D514)&gt;=1,"",ROW()-104)</f>
        <v>514</v>
      </c>
      <c r="N618" s="283"/>
      <c r="O618" s="283"/>
    </row>
    <row r="619" spans="2:15">
      <c r="B619" s="173" t="str">
        <f ca="1"/>
        <v>Rome City School District</v>
      </c>
      <c r="C619" s="175">
        <f>IF(COUNTIF(CONTROL!$B$52:$B$101,'Funding by District'!D515)&gt;=1,"",ROW()-104)</f>
        <v>515</v>
      </c>
      <c r="N619" s="283"/>
      <c r="O619" s="283"/>
    </row>
    <row r="620" spans="2:15">
      <c r="B620" s="173" t="str">
        <f ca="1"/>
        <v>Romulus Central School District</v>
      </c>
      <c r="C620" s="175">
        <f>IF(COUNTIF(CONTROL!$B$52:$B$101,'Funding by District'!D516)&gt;=1,"",ROW()-104)</f>
        <v>516</v>
      </c>
      <c r="N620" s="283"/>
      <c r="O620" s="283"/>
    </row>
    <row r="621" spans="2:15">
      <c r="B621" s="173" t="str">
        <f ca="1"/>
        <v>Rondout Valley Central School District</v>
      </c>
      <c r="C621" s="175">
        <f>IF(COUNTIF(CONTROL!$B$52:$B$101,'Funding by District'!D517)&gt;=1,"",ROW()-104)</f>
        <v>517</v>
      </c>
      <c r="N621" s="283"/>
      <c r="O621" s="283"/>
    </row>
    <row r="622" spans="2:15">
      <c r="B622" s="173" t="str">
        <f ca="1"/>
        <v>Roosevelt Union Free School District</v>
      </c>
      <c r="C622" s="175">
        <f>IF(COUNTIF(CONTROL!$B$52:$B$101,'Funding by District'!D518)&gt;=1,"",ROW()-104)</f>
        <v>518</v>
      </c>
      <c r="N622" s="283"/>
      <c r="O622" s="283"/>
    </row>
    <row r="623" spans="2:15">
      <c r="B623" s="173" t="str">
        <f ca="1"/>
        <v>Roscoe Central School District</v>
      </c>
      <c r="C623" s="175">
        <f>IF(COUNTIF(CONTROL!$B$52:$B$101,'Funding by District'!D519)&gt;=1,"",ROW()-104)</f>
        <v>519</v>
      </c>
      <c r="N623" s="283"/>
      <c r="O623" s="283"/>
    </row>
    <row r="624" spans="2:15">
      <c r="B624" s="173" t="str">
        <f ca="1"/>
        <v>Roslyn Union Free School District</v>
      </c>
      <c r="C624" s="175">
        <f>IF(COUNTIF(CONTROL!$B$52:$B$101,'Funding by District'!D520)&gt;=1,"",ROW()-104)</f>
        <v>520</v>
      </c>
      <c r="N624" s="283"/>
      <c r="O624" s="283"/>
    </row>
    <row r="625" spans="2:15">
      <c r="B625" s="173" t="str">
        <f ca="1"/>
        <v>Roxbury Central School District</v>
      </c>
      <c r="C625" s="175">
        <f>IF(COUNTIF(CONTROL!$B$52:$B$101,'Funding by District'!D521)&gt;=1,"",ROW()-104)</f>
        <v>521</v>
      </c>
      <c r="N625" s="283"/>
      <c r="O625" s="283"/>
    </row>
    <row r="626" spans="2:15">
      <c r="B626" s="173" t="str">
        <f ca="1"/>
        <v>Royalton-Hartland Central School District</v>
      </c>
      <c r="C626" s="175">
        <f>IF(COUNTIF(CONTROL!$B$52:$B$101,'Funding by District'!D522)&gt;=1,"",ROW()-104)</f>
        <v>522</v>
      </c>
      <c r="N626" s="283"/>
      <c r="O626" s="283"/>
    </row>
    <row r="627" spans="2:15">
      <c r="B627" s="173" t="str">
        <f ca="1"/>
        <v>Rush-Henrietta Central School District</v>
      </c>
      <c r="C627" s="175">
        <f>IF(COUNTIF(CONTROL!$B$52:$B$101,'Funding by District'!D523)&gt;=1,"",ROW()-104)</f>
        <v>523</v>
      </c>
      <c r="N627" s="283"/>
      <c r="O627" s="283"/>
    </row>
    <row r="628" spans="2:15">
      <c r="B628" s="173" t="str">
        <f ca="1"/>
        <v>Rye City School District</v>
      </c>
      <c r="C628" s="175">
        <f>IF(COUNTIF(CONTROL!$B$52:$B$101,'Funding by District'!D524)&gt;=1,"",ROW()-104)</f>
        <v>524</v>
      </c>
      <c r="N628" s="283"/>
      <c r="O628" s="283"/>
    </row>
    <row r="629" spans="2:15">
      <c r="B629" s="173" t="str">
        <f ca="1"/>
        <v>Rye Neck Union Free School District</v>
      </c>
      <c r="C629" s="175">
        <f>IF(COUNTIF(CONTROL!$B$52:$B$101,'Funding by District'!D525)&gt;=1,"",ROW()-104)</f>
        <v>525</v>
      </c>
      <c r="N629" s="283"/>
      <c r="O629" s="283"/>
    </row>
    <row r="630" spans="2:15">
      <c r="B630" s="173" t="str">
        <f ca="1"/>
        <v>Sachem Central School District</v>
      </c>
      <c r="C630" s="175">
        <f>IF(COUNTIF(CONTROL!$B$52:$B$101,'Funding by District'!D526)&gt;=1,"",ROW()-104)</f>
        <v>526</v>
      </c>
      <c r="N630" s="283"/>
      <c r="O630" s="283"/>
    </row>
    <row r="631" spans="2:15">
      <c r="B631" s="173" t="str">
        <f ca="1"/>
        <v>Sackets Harbor Central School District</v>
      </c>
      <c r="C631" s="175">
        <f>IF(COUNTIF(CONTROL!$B$52:$B$101,'Funding by District'!D527)&gt;=1,"",ROW()-104)</f>
        <v>527</v>
      </c>
      <c r="N631" s="283"/>
      <c r="O631" s="283"/>
    </row>
    <row r="632" spans="2:15">
      <c r="B632" s="173" t="str">
        <f ca="1"/>
        <v>Sag Harbor Union Free School District</v>
      </c>
      <c r="C632" s="175">
        <f>IF(COUNTIF(CONTROL!$B$52:$B$101,'Funding by District'!D528)&gt;=1,"",ROW()-104)</f>
        <v>528</v>
      </c>
      <c r="N632" s="283"/>
      <c r="O632" s="283"/>
    </row>
    <row r="633" spans="2:15">
      <c r="B633" s="173" t="str">
        <f ca="1"/>
        <v>Sagaponack Common School District</v>
      </c>
      <c r="C633" s="175">
        <f>IF(COUNTIF(CONTROL!$B$52:$B$101,'Funding by District'!D529)&gt;=1,"",ROW()-104)</f>
        <v>529</v>
      </c>
      <c r="N633" s="283"/>
      <c r="O633" s="283"/>
    </row>
    <row r="634" spans="2:15">
      <c r="B634" s="173" t="str">
        <f ca="1"/>
        <v>Saint Regis Falls Central School District</v>
      </c>
      <c r="C634" s="175">
        <f>IF(COUNTIF(CONTROL!$B$52:$B$101,'Funding by District'!D530)&gt;=1,"",ROW()-104)</f>
        <v>530</v>
      </c>
      <c r="N634" s="283"/>
      <c r="O634" s="283"/>
    </row>
    <row r="635" spans="2:15">
      <c r="B635" s="173" t="str">
        <f ca="1"/>
        <v>Salamanca City School District</v>
      </c>
      <c r="C635" s="175">
        <f>IF(COUNTIF(CONTROL!$B$52:$B$101,'Funding by District'!D531)&gt;=1,"",ROW()-104)</f>
        <v>531</v>
      </c>
      <c r="N635" s="283"/>
      <c r="O635" s="283"/>
    </row>
    <row r="636" spans="2:15">
      <c r="B636" s="173" t="str">
        <f ca="1"/>
        <v>Salem Central School District</v>
      </c>
      <c r="C636" s="175">
        <f>IF(COUNTIF(CONTROL!$B$52:$B$101,'Funding by District'!D532)&gt;=1,"",ROW()-104)</f>
        <v>532</v>
      </c>
      <c r="N636" s="283"/>
      <c r="O636" s="283"/>
    </row>
    <row r="637" spans="2:15">
      <c r="B637" s="173" t="str">
        <f ca="1"/>
        <v>Salmon River Central School District</v>
      </c>
      <c r="C637" s="175">
        <f>IF(COUNTIF(CONTROL!$B$52:$B$101,'Funding by District'!D533)&gt;=1,"",ROW()-104)</f>
        <v>533</v>
      </c>
      <c r="N637" s="283"/>
      <c r="O637" s="283"/>
    </row>
    <row r="638" spans="2:15">
      <c r="B638" s="173" t="str">
        <f ca="1"/>
        <v>Sandy Creek Central School District</v>
      </c>
      <c r="C638" s="175">
        <f>IF(COUNTIF(CONTROL!$B$52:$B$101,'Funding by District'!D534)&gt;=1,"",ROW()-104)</f>
        <v>534</v>
      </c>
      <c r="N638" s="283"/>
      <c r="O638" s="283"/>
    </row>
    <row r="639" spans="2:15">
      <c r="B639" s="173" t="str">
        <f ca="1"/>
        <v>Saranac Central School District</v>
      </c>
      <c r="C639" s="175">
        <f>IF(COUNTIF(CONTROL!$B$52:$B$101,'Funding by District'!D535)&gt;=1,"",ROW()-104)</f>
        <v>535</v>
      </c>
      <c r="N639" s="283"/>
      <c r="O639" s="283"/>
    </row>
    <row r="640" spans="2:15">
      <c r="B640" s="173" t="str">
        <f ca="1"/>
        <v>Saranac Lake Central School District</v>
      </c>
      <c r="C640" s="175">
        <f>IF(COUNTIF(CONTROL!$B$52:$B$101,'Funding by District'!D536)&gt;=1,"",ROW()-104)</f>
        <v>536</v>
      </c>
      <c r="N640" s="283"/>
      <c r="O640" s="283"/>
    </row>
    <row r="641" spans="2:15">
      <c r="B641" s="173" t="str">
        <f ca="1"/>
        <v>Saratoga Springs City School District</v>
      </c>
      <c r="C641" s="175">
        <f>IF(COUNTIF(CONTROL!$B$52:$B$101,'Funding by District'!D537)&gt;=1,"",ROW()-104)</f>
        <v>537</v>
      </c>
      <c r="N641" s="283"/>
      <c r="O641" s="283"/>
    </row>
    <row r="642" spans="2:15">
      <c r="B642" s="173" t="str">
        <f ca="1"/>
        <v>Saugerties Central School District</v>
      </c>
      <c r="C642" s="175">
        <f>IF(COUNTIF(CONTROL!$B$52:$B$101,'Funding by District'!D538)&gt;=1,"",ROW()-104)</f>
        <v>538</v>
      </c>
      <c r="N642" s="283"/>
      <c r="O642" s="283"/>
    </row>
    <row r="643" spans="2:15">
      <c r="B643" s="173" t="str">
        <f ca="1"/>
        <v>Sauquoit Valley Central School District</v>
      </c>
      <c r="C643" s="175">
        <f>IF(COUNTIF(CONTROL!$B$52:$B$101,'Funding by District'!D539)&gt;=1,"",ROW()-104)</f>
        <v>539</v>
      </c>
      <c r="N643" s="283"/>
      <c r="O643" s="283"/>
    </row>
    <row r="644" spans="2:15">
      <c r="B644" s="173" t="str">
        <f ca="1"/>
        <v>Sayville Union Free School District</v>
      </c>
      <c r="C644" s="175">
        <f>IF(COUNTIF(CONTROL!$B$52:$B$101,'Funding by District'!D540)&gt;=1,"",ROW()-104)</f>
        <v>540</v>
      </c>
      <c r="N644" s="283"/>
      <c r="O644" s="283"/>
    </row>
    <row r="645" spans="2:15">
      <c r="B645" s="173" t="str">
        <f ca="1"/>
        <v>Scarsdale Union Free School District</v>
      </c>
      <c r="C645" s="175">
        <f>IF(COUNTIF(CONTROL!$B$52:$B$101,'Funding by District'!D541)&gt;=1,"",ROW()-104)</f>
        <v>541</v>
      </c>
      <c r="N645" s="283"/>
      <c r="O645" s="283"/>
    </row>
    <row r="646" spans="2:15">
      <c r="B646" s="173" t="str">
        <f ca="1"/>
        <v>Schalmont Central School District</v>
      </c>
      <c r="C646" s="175">
        <f>IF(COUNTIF(CONTROL!$B$52:$B$101,'Funding by District'!D542)&gt;=1,"",ROW()-104)</f>
        <v>542</v>
      </c>
      <c r="N646" s="283"/>
      <c r="O646" s="283"/>
    </row>
    <row r="647" spans="2:15">
      <c r="B647" s="173" t="str">
        <f ca="1"/>
        <v>Schenectady City School District</v>
      </c>
      <c r="C647" s="175">
        <f>IF(COUNTIF(CONTROL!$B$52:$B$101,'Funding by District'!D543)&gt;=1,"",ROW()-104)</f>
        <v>543</v>
      </c>
      <c r="N647" s="283"/>
      <c r="O647" s="283"/>
    </row>
    <row r="648" spans="2:15">
      <c r="B648" s="173" t="str">
        <f ca="1"/>
        <v>Schenevus Central School District</v>
      </c>
      <c r="C648" s="175">
        <f>IF(COUNTIF(CONTROL!$B$52:$B$101,'Funding by District'!D544)&gt;=1,"",ROW()-104)</f>
        <v>544</v>
      </c>
      <c r="N648" s="283"/>
      <c r="O648" s="283"/>
    </row>
    <row r="649" spans="2:15">
      <c r="B649" s="173" t="str">
        <f ca="1"/>
        <v>Schodack Central School District</v>
      </c>
      <c r="C649" s="175">
        <f>IF(COUNTIF(CONTROL!$B$52:$B$101,'Funding by District'!D545)&gt;=1,"",ROW()-104)</f>
        <v>545</v>
      </c>
      <c r="N649" s="283"/>
      <c r="O649" s="283"/>
    </row>
    <row r="650" spans="2:15">
      <c r="B650" s="173" t="str">
        <f ca="1"/>
        <v>Schoharie Central School District</v>
      </c>
      <c r="C650" s="175">
        <f>IF(COUNTIF(CONTROL!$B$52:$B$101,'Funding by District'!D546)&gt;=1,"",ROW()-104)</f>
        <v>546</v>
      </c>
      <c r="N650" s="283"/>
      <c r="O650" s="283"/>
    </row>
    <row r="651" spans="2:15">
      <c r="B651" s="173" t="str">
        <f ca="1"/>
        <v>Schroon Lake Central School District</v>
      </c>
      <c r="C651" s="175">
        <f>IF(COUNTIF(CONTROL!$B$52:$B$101,'Funding by District'!D547)&gt;=1,"",ROW()-104)</f>
        <v>547</v>
      </c>
      <c r="N651" s="283"/>
      <c r="O651" s="283"/>
    </row>
    <row r="652" spans="2:15">
      <c r="B652" s="173" t="str">
        <f ca="1"/>
        <v>Schuylerville Central School District</v>
      </c>
      <c r="C652" s="175">
        <f>IF(COUNTIF(CONTROL!$B$52:$B$101,'Funding by District'!D548)&gt;=1,"",ROW()-104)</f>
        <v>548</v>
      </c>
      <c r="N652" s="283"/>
      <c r="O652" s="283"/>
    </row>
    <row r="653" spans="2:15">
      <c r="B653" s="173" t="str">
        <f ca="1"/>
        <v>Scio Central School District</v>
      </c>
      <c r="C653" s="175">
        <f>IF(COUNTIF(CONTROL!$B$52:$B$101,'Funding by District'!D549)&gt;=1,"",ROW()-104)</f>
        <v>549</v>
      </c>
      <c r="N653" s="283"/>
      <c r="O653" s="283"/>
    </row>
    <row r="654" spans="2:15">
      <c r="B654" s="173" t="str">
        <f ca="1"/>
        <v>Scotia-Glenville Central School District</v>
      </c>
      <c r="C654" s="175">
        <f>IF(COUNTIF(CONTROL!$B$52:$B$101,'Funding by District'!D550)&gt;=1,"",ROW()-104)</f>
        <v>550</v>
      </c>
      <c r="N654" s="283"/>
      <c r="O654" s="283"/>
    </row>
    <row r="655" spans="2:15">
      <c r="B655" s="173" t="str">
        <f ca="1"/>
        <v>Seaford Union Free School District</v>
      </c>
      <c r="C655" s="175">
        <f>IF(COUNTIF(CONTROL!$B$52:$B$101,'Funding by District'!D551)&gt;=1,"",ROW()-104)</f>
        <v>551</v>
      </c>
      <c r="N655" s="283"/>
      <c r="O655" s="283"/>
    </row>
    <row r="656" spans="2:15">
      <c r="B656" s="173" t="str">
        <f ca="1"/>
        <v>Seneca Falls Central School District</v>
      </c>
      <c r="C656" s="175">
        <f>IF(COUNTIF(CONTROL!$B$52:$B$101,'Funding by District'!D552)&gt;=1,"",ROW()-104)</f>
        <v>552</v>
      </c>
      <c r="N656" s="283"/>
      <c r="O656" s="283"/>
    </row>
    <row r="657" spans="2:15">
      <c r="B657" s="173" t="str">
        <f ca="1"/>
        <v>Sewanhaka Central High School District</v>
      </c>
      <c r="C657" s="175">
        <f>IF(COUNTIF(CONTROL!$B$52:$B$101,'Funding by District'!D553)&gt;=1,"",ROW()-104)</f>
        <v>553</v>
      </c>
      <c r="N657" s="283"/>
      <c r="O657" s="283"/>
    </row>
    <row r="658" spans="2:15">
      <c r="B658" s="173" t="str">
        <f ca="1"/>
        <v>Sharon Springs Central School District</v>
      </c>
      <c r="C658" s="175">
        <f>IF(COUNTIF(CONTROL!$B$52:$B$101,'Funding by District'!D554)&gt;=1,"",ROW()-104)</f>
        <v>554</v>
      </c>
      <c r="N658" s="283"/>
      <c r="O658" s="283"/>
    </row>
    <row r="659" spans="2:15">
      <c r="B659" s="173" t="str">
        <f ca="1"/>
        <v>Shelter Island Union Free School District</v>
      </c>
      <c r="C659" s="175">
        <f>IF(COUNTIF(CONTROL!$B$52:$B$101,'Funding by District'!D555)&gt;=1,"",ROW()-104)</f>
        <v>555</v>
      </c>
      <c r="N659" s="283"/>
      <c r="O659" s="283"/>
    </row>
    <row r="660" spans="2:15">
      <c r="B660" s="173" t="str">
        <f ca="1"/>
        <v>Shenendehowa Central School District</v>
      </c>
      <c r="C660" s="175">
        <f>IF(COUNTIF(CONTROL!$B$52:$B$101,'Funding by District'!D556)&gt;=1,"",ROW()-104)</f>
        <v>556</v>
      </c>
      <c r="N660" s="283"/>
      <c r="O660" s="283"/>
    </row>
    <row r="661" spans="2:15">
      <c r="B661" s="173" t="str">
        <f ca="1"/>
        <v>Sherburne-Earlville Central School District</v>
      </c>
      <c r="C661" s="175">
        <f>IF(COUNTIF(CONTROL!$B$52:$B$101,'Funding by District'!D557)&gt;=1,"",ROW()-104)</f>
        <v>557</v>
      </c>
      <c r="N661" s="283"/>
      <c r="O661" s="283"/>
    </row>
    <row r="662" spans="2:15">
      <c r="B662" s="173" t="str">
        <f ca="1"/>
        <v>Sherman Central School District</v>
      </c>
      <c r="C662" s="175">
        <f>IF(COUNTIF(CONTROL!$B$52:$B$101,'Funding by District'!D558)&gt;=1,"",ROW()-104)</f>
        <v>558</v>
      </c>
      <c r="N662" s="283"/>
      <c r="O662" s="283"/>
    </row>
    <row r="663" spans="2:15">
      <c r="B663" s="173" t="str">
        <f ca="1"/>
        <v>Shoreham-Wading River Central School District</v>
      </c>
      <c r="C663" s="175">
        <f>IF(COUNTIF(CONTROL!$B$52:$B$101,'Funding by District'!D559)&gt;=1,"",ROW()-104)</f>
        <v>559</v>
      </c>
      <c r="N663" s="283"/>
      <c r="O663" s="283"/>
    </row>
    <row r="664" spans="2:15">
      <c r="B664" s="173" t="str">
        <f ca="1"/>
        <v>Sidney Central School District</v>
      </c>
      <c r="C664" s="175">
        <f>IF(COUNTIF(CONTROL!$B$52:$B$101,'Funding by District'!D560)&gt;=1,"",ROW()-104)</f>
        <v>560</v>
      </c>
      <c r="N664" s="283"/>
      <c r="O664" s="283"/>
    </row>
    <row r="665" spans="2:15">
      <c r="B665" s="173" t="str">
        <f ca="1"/>
        <v>Silver Creek Central School District</v>
      </c>
      <c r="C665" s="175">
        <f>IF(COUNTIF(CONTROL!$B$52:$B$101,'Funding by District'!D561)&gt;=1,"",ROW()-104)</f>
        <v>561</v>
      </c>
      <c r="N665" s="283"/>
      <c r="O665" s="283"/>
    </row>
    <row r="666" spans="2:15">
      <c r="B666" s="173" t="str">
        <f ca="1"/>
        <v>Skaneateles Central School District</v>
      </c>
      <c r="C666" s="175">
        <f>IF(COUNTIF(CONTROL!$B$52:$B$101,'Funding by District'!D562)&gt;=1,"",ROW()-104)</f>
        <v>562</v>
      </c>
      <c r="N666" s="283"/>
      <c r="O666" s="283"/>
    </row>
    <row r="667" spans="2:15">
      <c r="B667" s="173" t="str">
        <f ca="1"/>
        <v>Smithtown Central School District</v>
      </c>
      <c r="C667" s="175">
        <f>IF(COUNTIF(CONTROL!$B$52:$B$101,'Funding by District'!D563)&gt;=1,"",ROW()-104)</f>
        <v>563</v>
      </c>
      <c r="N667" s="283"/>
      <c r="O667" s="283"/>
    </row>
    <row r="668" spans="2:15">
      <c r="B668" s="173" t="str">
        <f ca="1"/>
        <v>Sodus Central School District</v>
      </c>
      <c r="C668" s="175">
        <f>IF(COUNTIF(CONTROL!$B$52:$B$101,'Funding by District'!D564)&gt;=1,"",ROW()-104)</f>
        <v>564</v>
      </c>
      <c r="N668" s="283"/>
      <c r="O668" s="283"/>
    </row>
    <row r="669" spans="2:15">
      <c r="B669" s="173" t="str">
        <f ca="1"/>
        <v>Solvay Union Free School District</v>
      </c>
      <c r="C669" s="175">
        <f>IF(COUNTIF(CONTROL!$B$52:$B$101,'Funding by District'!D565)&gt;=1,"",ROW()-104)</f>
        <v>565</v>
      </c>
      <c r="N669" s="283"/>
      <c r="O669" s="283"/>
    </row>
    <row r="670" spans="2:15">
      <c r="B670" s="173" t="str">
        <f ca="1"/>
        <v>Somers Central School District</v>
      </c>
      <c r="C670" s="175">
        <f>IF(COUNTIF(CONTROL!$B$52:$B$101,'Funding by District'!D566)&gt;=1,"",ROW()-104)</f>
        <v>566</v>
      </c>
      <c r="N670" s="283"/>
      <c r="O670" s="283"/>
    </row>
    <row r="671" spans="2:15">
      <c r="B671" s="173" t="str">
        <f ca="1"/>
        <v>South Colonie Central School District</v>
      </c>
      <c r="C671" s="175">
        <f>IF(COUNTIF(CONTROL!$B$52:$B$101,'Funding by District'!D567)&gt;=1,"",ROW()-104)</f>
        <v>567</v>
      </c>
      <c r="N671" s="283"/>
      <c r="O671" s="283"/>
    </row>
    <row r="672" spans="2:15">
      <c r="B672" s="173" t="str">
        <f ca="1"/>
        <v>South Country Central School District</v>
      </c>
      <c r="C672" s="175">
        <f>IF(COUNTIF(CONTROL!$B$52:$B$101,'Funding by District'!D568)&gt;=1,"",ROW()-104)</f>
        <v>568</v>
      </c>
      <c r="N672" s="283"/>
      <c r="O672" s="283"/>
    </row>
    <row r="673" spans="2:15">
      <c r="B673" s="173" t="str">
        <f ca="1"/>
        <v>South Glens Falls Central School District</v>
      </c>
      <c r="C673" s="175">
        <f>IF(COUNTIF(CONTROL!$B$52:$B$101,'Funding by District'!D569)&gt;=1,"",ROW()-104)</f>
        <v>569</v>
      </c>
      <c r="N673" s="283"/>
      <c r="O673" s="283"/>
    </row>
    <row r="674" spans="2:15">
      <c r="B674" s="173" t="str">
        <f ca="1"/>
        <v>South Huntington Union Free School District</v>
      </c>
      <c r="C674" s="175">
        <f>IF(COUNTIF(CONTROL!$B$52:$B$101,'Funding by District'!D570)&gt;=1,"",ROW()-104)</f>
        <v>570</v>
      </c>
      <c r="N674" s="283"/>
      <c r="O674" s="283"/>
    </row>
    <row r="675" spans="2:15">
      <c r="B675" s="173" t="str">
        <f ca="1"/>
        <v>South Jefferson Central School District</v>
      </c>
      <c r="C675" s="175">
        <f>IF(COUNTIF(CONTROL!$B$52:$B$101,'Funding by District'!D571)&gt;=1,"",ROW()-104)</f>
        <v>571</v>
      </c>
      <c r="N675" s="283"/>
      <c r="O675" s="283"/>
    </row>
    <row r="676" spans="2:15">
      <c r="B676" s="173" t="str">
        <f ca="1"/>
        <v>South Kortright Central School District</v>
      </c>
      <c r="C676" s="175">
        <f>IF(COUNTIF(CONTROL!$B$52:$B$101,'Funding by District'!D572)&gt;=1,"",ROW()-104)</f>
        <v>572</v>
      </c>
      <c r="N676" s="283"/>
      <c r="O676" s="283"/>
    </row>
    <row r="677" spans="2:15">
      <c r="B677" s="173" t="str">
        <f ca="1"/>
        <v>South Lewis Central School District</v>
      </c>
      <c r="C677" s="175">
        <f>IF(COUNTIF(CONTROL!$B$52:$B$101,'Funding by District'!D573)&gt;=1,"",ROW()-104)</f>
        <v>573</v>
      </c>
      <c r="N677" s="283"/>
      <c r="O677" s="283"/>
    </row>
    <row r="678" spans="2:15">
      <c r="B678" s="173" t="str">
        <f ca="1"/>
        <v>South Orangetown Central School District</v>
      </c>
      <c r="C678" s="175">
        <f>IF(COUNTIF(CONTROL!$B$52:$B$101,'Funding by District'!D574)&gt;=1,"",ROW()-104)</f>
        <v>574</v>
      </c>
      <c r="N678" s="283"/>
      <c r="O678" s="283"/>
    </row>
    <row r="679" spans="2:15">
      <c r="B679" s="173" t="str">
        <f ca="1"/>
        <v>South Seneca Central School District</v>
      </c>
      <c r="C679" s="175">
        <f>IF(COUNTIF(CONTROL!$B$52:$B$101,'Funding by District'!D575)&gt;=1,"",ROW()-104)</f>
        <v>575</v>
      </c>
      <c r="N679" s="283"/>
      <c r="O679" s="283"/>
    </row>
    <row r="680" spans="2:15">
      <c r="B680" s="173" t="str">
        <f ca="1"/>
        <v>Southampton Union Free School District</v>
      </c>
      <c r="C680" s="175">
        <f>IF(COUNTIF(CONTROL!$B$52:$B$101,'Funding by District'!D576)&gt;=1,"",ROW()-104)</f>
        <v>576</v>
      </c>
      <c r="N680" s="283"/>
      <c r="O680" s="283"/>
    </row>
    <row r="681" spans="2:15">
      <c r="B681" s="173" t="str">
        <f ca="1"/>
        <v>Southern Cayuga Central School District</v>
      </c>
      <c r="C681" s="175">
        <f>IF(COUNTIF(CONTROL!$B$52:$B$101,'Funding by District'!D577)&gt;=1,"",ROW()-104)</f>
        <v>577</v>
      </c>
      <c r="N681" s="283"/>
      <c r="O681" s="283"/>
    </row>
    <row r="682" spans="2:15">
      <c r="B682" s="173" t="str">
        <f ca="1"/>
        <v>Southold Union Free School District</v>
      </c>
      <c r="C682" s="175">
        <f>IF(COUNTIF(CONTROL!$B$52:$B$101,'Funding by District'!D578)&gt;=1,"",ROW()-104)</f>
        <v>578</v>
      </c>
      <c r="N682" s="283"/>
      <c r="O682" s="283"/>
    </row>
    <row r="683" spans="2:15">
      <c r="B683" s="173" t="str">
        <f ca="1"/>
        <v>Southwestern Central School District</v>
      </c>
      <c r="C683" s="175">
        <f>IF(COUNTIF(CONTROL!$B$52:$B$101,'Funding by District'!D579)&gt;=1,"",ROW()-104)</f>
        <v>579</v>
      </c>
      <c r="N683" s="283"/>
      <c r="O683" s="283"/>
    </row>
    <row r="684" spans="2:15">
      <c r="B684" s="173" t="str">
        <f ca="1"/>
        <v>Spackenkill Union Free School District</v>
      </c>
      <c r="C684" s="175">
        <f>IF(COUNTIF(CONTROL!$B$52:$B$101,'Funding by District'!D580)&gt;=1,"",ROW()-104)</f>
        <v>580</v>
      </c>
      <c r="N684" s="283"/>
      <c r="O684" s="283"/>
    </row>
    <row r="685" spans="2:15">
      <c r="B685" s="173" t="str">
        <f ca="1"/>
        <v>Spencerport Central School District</v>
      </c>
      <c r="C685" s="175">
        <f>IF(COUNTIF(CONTROL!$B$52:$B$101,'Funding by District'!D581)&gt;=1,"",ROW()-104)</f>
        <v>581</v>
      </c>
      <c r="N685" s="283"/>
      <c r="O685" s="283"/>
    </row>
    <row r="686" spans="2:15">
      <c r="B686" s="173" t="str">
        <f ca="1"/>
        <v>Spencer-Van Etten Central School District</v>
      </c>
      <c r="C686" s="175">
        <f>IF(COUNTIF(CONTROL!$B$52:$B$101,'Funding by District'!D582)&gt;=1,"",ROW()-104)</f>
        <v>582</v>
      </c>
      <c r="N686" s="283"/>
      <c r="O686" s="283"/>
    </row>
    <row r="687" spans="2:15">
      <c r="B687" s="173" t="str">
        <f ca="1"/>
        <v>Springs Union Free School District</v>
      </c>
      <c r="C687" s="175">
        <f>IF(COUNTIF(CONTROL!$B$52:$B$101,'Funding by District'!D583)&gt;=1,"",ROW()-104)</f>
        <v>583</v>
      </c>
      <c r="N687" s="283"/>
      <c r="O687" s="283"/>
    </row>
    <row r="688" spans="2:15">
      <c r="B688" s="173" t="str">
        <f ca="1"/>
        <v>Springville-Griffith Institute Central School District</v>
      </c>
      <c r="C688" s="175">
        <f>IF(COUNTIF(CONTROL!$B$52:$B$101,'Funding by District'!D584)&gt;=1,"",ROW()-104)</f>
        <v>584</v>
      </c>
      <c r="N688" s="283"/>
      <c r="O688" s="283"/>
    </row>
    <row r="689" spans="2:15">
      <c r="B689" s="173" t="str">
        <f ca="1"/>
        <v>Stamford Central School District</v>
      </c>
      <c r="C689" s="175">
        <f>IF(COUNTIF(CONTROL!$B$52:$B$101,'Funding by District'!D585)&gt;=1,"",ROW()-104)</f>
        <v>585</v>
      </c>
      <c r="N689" s="283"/>
      <c r="O689" s="283"/>
    </row>
    <row r="690" spans="2:15">
      <c r="B690" s="173" t="str">
        <f ca="1"/>
        <v>Starpoint Central School District</v>
      </c>
      <c r="C690" s="175">
        <f>IF(COUNTIF(CONTROL!$B$52:$B$101,'Funding by District'!D586)&gt;=1,"",ROW()-104)</f>
        <v>586</v>
      </c>
      <c r="N690" s="283"/>
      <c r="O690" s="283"/>
    </row>
    <row r="691" spans="2:15">
      <c r="B691" s="173" t="str">
        <f ca="1"/>
        <v>Stillwater Central School District</v>
      </c>
      <c r="C691" s="175">
        <f>IF(COUNTIF(CONTROL!$B$52:$B$101,'Funding by District'!D587)&gt;=1,"",ROW()-104)</f>
        <v>587</v>
      </c>
      <c r="N691" s="283"/>
      <c r="O691" s="283"/>
    </row>
    <row r="692" spans="2:15">
      <c r="B692" s="173" t="str">
        <f ca="1"/>
        <v>Stockbridge Valley Central School District</v>
      </c>
      <c r="C692" s="175">
        <f>IF(COUNTIF(CONTROL!$B$52:$B$101,'Funding by District'!D588)&gt;=1,"",ROW()-104)</f>
        <v>588</v>
      </c>
      <c r="N692" s="283"/>
      <c r="O692" s="283"/>
    </row>
    <row r="693" spans="2:15">
      <c r="B693" s="173" t="str">
        <f ca="1"/>
        <v>Suffern Central School District</v>
      </c>
      <c r="C693" s="175">
        <f>IF(COUNTIF(CONTROL!$B$52:$B$101,'Funding by District'!D589)&gt;=1,"",ROW()-104)</f>
        <v>589</v>
      </c>
      <c r="N693" s="283"/>
      <c r="O693" s="283"/>
    </row>
    <row r="694" spans="2:15">
      <c r="B694" s="173" t="str">
        <f ca="1"/>
        <v>Sullivan West Central School District</v>
      </c>
      <c r="C694" s="175">
        <f>IF(COUNTIF(CONTROL!$B$52:$B$101,'Funding by District'!D590)&gt;=1,"",ROW()-104)</f>
        <v>590</v>
      </c>
      <c r="N694" s="283"/>
      <c r="O694" s="283"/>
    </row>
    <row r="695" spans="2:15">
      <c r="B695" s="173" t="str">
        <f ca="1"/>
        <v>Susquehanna Valley Central School District</v>
      </c>
      <c r="C695" s="175">
        <f>IF(COUNTIF(CONTROL!$B$52:$B$101,'Funding by District'!D591)&gt;=1,"",ROW()-104)</f>
        <v>591</v>
      </c>
      <c r="N695" s="283"/>
      <c r="O695" s="283"/>
    </row>
    <row r="696" spans="2:15">
      <c r="B696" s="173" t="str">
        <f ca="1"/>
        <v>Sweet Home Central School District</v>
      </c>
      <c r="C696" s="175">
        <f>IF(COUNTIF(CONTROL!$B$52:$B$101,'Funding by District'!D592)&gt;=1,"",ROW()-104)</f>
        <v>592</v>
      </c>
      <c r="N696" s="283"/>
      <c r="O696" s="283"/>
    </row>
    <row r="697" spans="2:15">
      <c r="B697" s="173" t="str">
        <f ca="1"/>
        <v>Syosset Central School District</v>
      </c>
      <c r="C697" s="175">
        <f>IF(COUNTIF(CONTROL!$B$52:$B$101,'Funding by District'!D593)&gt;=1,"",ROW()-104)</f>
        <v>593</v>
      </c>
      <c r="N697" s="283"/>
      <c r="O697" s="283"/>
    </row>
    <row r="698" spans="2:15">
      <c r="B698" s="173" t="str">
        <f ca="1"/>
        <v>Syracuse City School District</v>
      </c>
      <c r="C698" s="175">
        <f>IF(COUNTIF(CONTROL!$B$52:$B$101,'Funding by District'!D594)&gt;=1,"",ROW()-104)</f>
        <v>594</v>
      </c>
      <c r="N698" s="283"/>
      <c r="O698" s="283"/>
    </row>
    <row r="699" spans="2:15">
      <c r="B699" s="173" t="str">
        <f ca="1"/>
        <v>Taconic Hills Central School District</v>
      </c>
      <c r="C699" s="175">
        <f>IF(COUNTIF(CONTROL!$B$52:$B$101,'Funding by District'!D595)&gt;=1,"",ROW()-104)</f>
        <v>595</v>
      </c>
      <c r="N699" s="283"/>
      <c r="O699" s="283"/>
    </row>
    <row r="700" spans="2:15">
      <c r="B700" s="173" t="str">
        <f ca="1"/>
        <v>Tarrytown Union Free School District</v>
      </c>
      <c r="C700" s="175">
        <f>IF(COUNTIF(CONTROL!$B$52:$B$101,'Funding by District'!D596)&gt;=1,"",ROW()-104)</f>
        <v>596</v>
      </c>
      <c r="N700" s="283"/>
      <c r="O700" s="283"/>
    </row>
    <row r="701" spans="2:15">
      <c r="B701" s="173" t="str">
        <f ca="1"/>
        <v>Thousand Islands Central School District</v>
      </c>
      <c r="C701" s="175">
        <f>IF(COUNTIF(CONTROL!$B$52:$B$101,'Funding by District'!D597)&gt;=1,"",ROW()-104)</f>
        <v>597</v>
      </c>
      <c r="N701" s="283"/>
      <c r="O701" s="283"/>
    </row>
    <row r="702" spans="2:15">
      <c r="B702" s="173" t="str">
        <f ca="1"/>
        <v>Three Village Central School District</v>
      </c>
      <c r="C702" s="175">
        <f>IF(COUNTIF(CONTROL!$B$52:$B$101,'Funding by District'!D598)&gt;=1,"",ROW()-104)</f>
        <v>598</v>
      </c>
      <c r="N702" s="283"/>
      <c r="O702" s="283"/>
    </row>
    <row r="703" spans="2:15">
      <c r="B703" s="173" t="str">
        <f ca="1"/>
        <v>Ticonderoga Central School District</v>
      </c>
      <c r="C703" s="175">
        <f>IF(COUNTIF(CONTROL!$B$52:$B$101,'Funding by District'!D599)&gt;=1,"",ROW()-104)</f>
        <v>599</v>
      </c>
      <c r="N703" s="283"/>
      <c r="O703" s="283"/>
    </row>
    <row r="704" spans="2:15">
      <c r="B704" s="173" t="str">
        <f ca="1"/>
        <v>Tioga Central School District</v>
      </c>
      <c r="C704" s="175">
        <f>IF(COUNTIF(CONTROL!$B$52:$B$101,'Funding by District'!D600)&gt;=1,"",ROW()-104)</f>
        <v>600</v>
      </c>
      <c r="N704" s="283"/>
      <c r="O704" s="283"/>
    </row>
    <row r="705" spans="2:15">
      <c r="B705" s="173" t="str">
        <f ca="1"/>
        <v>Tonawanda City School District</v>
      </c>
      <c r="C705" s="175">
        <f>IF(COUNTIF(CONTROL!$B$52:$B$101,'Funding by District'!D601)&gt;=1,"",ROW()-104)</f>
        <v>601</v>
      </c>
      <c r="N705" s="283"/>
      <c r="O705" s="283"/>
    </row>
    <row r="706" spans="2:15">
      <c r="B706" s="173" t="str">
        <f ca="1"/>
        <v>Town of Webb Union Free School District</v>
      </c>
      <c r="C706" s="175">
        <f>IF(COUNTIF(CONTROL!$B$52:$B$101,'Funding by District'!D602)&gt;=1,"",ROW()-104)</f>
        <v>602</v>
      </c>
      <c r="N706" s="283"/>
      <c r="O706" s="283"/>
    </row>
    <row r="707" spans="2:15">
      <c r="B707" s="173" t="str">
        <f ca="1"/>
        <v>Tri-Valley Central School District</v>
      </c>
      <c r="C707" s="175">
        <f>IF(COUNTIF(CONTROL!$B$52:$B$101,'Funding by District'!D603)&gt;=1,"",ROW()-104)</f>
        <v>603</v>
      </c>
      <c r="N707" s="283"/>
      <c r="O707" s="283"/>
    </row>
    <row r="708" spans="2:15">
      <c r="B708" s="173" t="str">
        <f ca="1"/>
        <v>Troy City School District</v>
      </c>
      <c r="C708" s="175">
        <f>IF(COUNTIF(CONTROL!$B$52:$B$101,'Funding by District'!D604)&gt;=1,"",ROW()-104)</f>
        <v>604</v>
      </c>
      <c r="N708" s="283"/>
      <c r="O708" s="283"/>
    </row>
    <row r="709" spans="2:15">
      <c r="B709" s="173" t="str">
        <f ca="1"/>
        <v>Trumansburg Central School District</v>
      </c>
      <c r="C709" s="175">
        <f>IF(COUNTIF(CONTROL!$B$52:$B$101,'Funding by District'!D605)&gt;=1,"",ROW()-104)</f>
        <v>605</v>
      </c>
      <c r="N709" s="283"/>
      <c r="O709" s="283"/>
    </row>
    <row r="710" spans="2:15">
      <c r="B710" s="173" t="str">
        <f ca="1"/>
        <v>Tuckahoe Common School District</v>
      </c>
      <c r="C710" s="175">
        <f>IF(COUNTIF(CONTROL!$B$52:$B$101,'Funding by District'!D606)&gt;=1,"",ROW()-104)</f>
        <v>606</v>
      </c>
      <c r="N710" s="283"/>
      <c r="O710" s="283"/>
    </row>
    <row r="711" spans="2:15">
      <c r="B711" s="173" t="str">
        <f ca="1"/>
        <v>Tuckahoe Union Free School District</v>
      </c>
      <c r="C711" s="175">
        <f>IF(COUNTIF(CONTROL!$B$52:$B$101,'Funding by District'!D607)&gt;=1,"",ROW()-104)</f>
        <v>607</v>
      </c>
      <c r="N711" s="283"/>
      <c r="O711" s="283"/>
    </row>
    <row r="712" spans="2:15">
      <c r="B712" s="173" t="str">
        <f ca="1"/>
        <v>Tully Central School District</v>
      </c>
      <c r="C712" s="175">
        <f>IF(COUNTIF(CONTROL!$B$52:$B$101,'Funding by District'!D608)&gt;=1,"",ROW()-104)</f>
        <v>608</v>
      </c>
      <c r="N712" s="283"/>
      <c r="O712" s="283"/>
    </row>
    <row r="713" spans="2:15">
      <c r="B713" s="173" t="str">
        <f ca="1"/>
        <v>Tupper Lake Central School District</v>
      </c>
      <c r="C713" s="175">
        <f>IF(COUNTIF(CONTROL!$B$52:$B$101,'Funding by District'!D609)&gt;=1,"",ROW()-104)</f>
        <v>609</v>
      </c>
      <c r="N713" s="283"/>
      <c r="O713" s="283"/>
    </row>
    <row r="714" spans="2:15">
      <c r="B714" s="173" t="str">
        <f ca="1"/>
        <v>Tuxedo Union Free School District</v>
      </c>
      <c r="C714" s="175">
        <f>IF(COUNTIF(CONTROL!$B$52:$B$101,'Funding by District'!D610)&gt;=1,"",ROW()-104)</f>
        <v>610</v>
      </c>
      <c r="N714" s="283"/>
      <c r="O714" s="283"/>
    </row>
    <row r="715" spans="2:15">
      <c r="B715" s="173" t="str">
        <f ca="1"/>
        <v>Unadilla Valley Central School District</v>
      </c>
      <c r="C715" s="175">
        <f>IF(COUNTIF(CONTROL!$B$52:$B$101,'Funding by District'!D611)&gt;=1,"",ROW()-104)</f>
        <v>611</v>
      </c>
      <c r="N715" s="283"/>
      <c r="O715" s="283"/>
    </row>
    <row r="716" spans="2:15">
      <c r="B716" s="173" t="str">
        <f ca="1"/>
        <v>Unatego Central School District</v>
      </c>
      <c r="C716" s="175">
        <f>IF(COUNTIF(CONTROL!$B$52:$B$101,'Funding by District'!D612)&gt;=1,"",ROW()-104)</f>
        <v>612</v>
      </c>
      <c r="N716" s="283"/>
      <c r="O716" s="283"/>
    </row>
    <row r="717" spans="2:15">
      <c r="B717" s="173" t="str">
        <f ca="1"/>
        <v>Union Springs Central School District</v>
      </c>
      <c r="C717" s="175">
        <f>IF(COUNTIF(CONTROL!$B$52:$B$101,'Funding by District'!D613)&gt;=1,"",ROW()-104)</f>
        <v>613</v>
      </c>
      <c r="N717" s="283"/>
      <c r="O717" s="283"/>
    </row>
    <row r="718" spans="2:15">
      <c r="B718" s="173" t="str">
        <f ca="1"/>
        <v>Uniondale Union Free School District</v>
      </c>
      <c r="C718" s="175">
        <f>IF(COUNTIF(CONTROL!$B$52:$B$101,'Funding by District'!D614)&gt;=1,"",ROW()-104)</f>
        <v>614</v>
      </c>
      <c r="N718" s="283"/>
      <c r="O718" s="283"/>
    </row>
    <row r="719" spans="2:15">
      <c r="B719" s="173" t="str">
        <f ca="1"/>
        <v>Union-Endicott Central School District</v>
      </c>
      <c r="C719" s="175">
        <f>IF(COUNTIF(CONTROL!$B$52:$B$101,'Funding by District'!D615)&gt;=1,"",ROW()-104)</f>
        <v>615</v>
      </c>
      <c r="N719" s="283"/>
      <c r="O719" s="283"/>
    </row>
    <row r="720" spans="2:15">
      <c r="B720" s="173" t="str">
        <f ca="1"/>
        <v>Utica City School District</v>
      </c>
      <c r="C720" s="175">
        <f>IF(COUNTIF(CONTROL!$B$52:$B$101,'Funding by District'!D616)&gt;=1,"",ROW()-104)</f>
        <v>616</v>
      </c>
      <c r="N720" s="283"/>
      <c r="O720" s="283"/>
    </row>
    <row r="721" spans="2:15">
      <c r="B721" s="173" t="str">
        <f ca="1"/>
        <v>Valhalla Union Free School District</v>
      </c>
      <c r="C721" s="175">
        <f>IF(COUNTIF(CONTROL!$B$52:$B$101,'Funding by District'!D617)&gt;=1,"",ROW()-104)</f>
        <v>617</v>
      </c>
      <c r="N721" s="283"/>
      <c r="O721" s="283"/>
    </row>
    <row r="722" spans="2:15">
      <c r="B722" s="173" t="str">
        <f ca="1"/>
        <v>Valley Central School District</v>
      </c>
      <c r="C722" s="175">
        <f>IF(COUNTIF(CONTROL!$B$52:$B$101,'Funding by District'!D618)&gt;=1,"",ROW()-104)</f>
        <v>618</v>
      </c>
      <c r="N722" s="283"/>
      <c r="O722" s="283"/>
    </row>
    <row r="723" spans="2:15">
      <c r="B723" s="173" t="str">
        <f ca="1"/>
        <v>Valley Stream 13 Union Free School District</v>
      </c>
      <c r="C723" s="175">
        <f>IF(COUNTIF(CONTROL!$B$52:$B$101,'Funding by District'!D619)&gt;=1,"",ROW()-104)</f>
        <v>619</v>
      </c>
      <c r="N723" s="283"/>
      <c r="O723" s="283"/>
    </row>
    <row r="724" spans="2:15">
      <c r="B724" s="173" t="str">
        <f ca="1"/>
        <v>Valley Stream 24 Union Free School District</v>
      </c>
      <c r="C724" s="175">
        <f>IF(COUNTIF(CONTROL!$B$52:$B$101,'Funding by District'!D620)&gt;=1,"",ROW()-104)</f>
        <v>620</v>
      </c>
      <c r="N724" s="283"/>
      <c r="O724" s="283"/>
    </row>
    <row r="725" spans="2:15">
      <c r="B725" s="173" t="str">
        <f ca="1"/>
        <v>Valley Stream 30 Union Free School District</v>
      </c>
      <c r="C725" s="175">
        <f>IF(COUNTIF(CONTROL!$B$52:$B$101,'Funding by District'!D621)&gt;=1,"",ROW()-104)</f>
        <v>621</v>
      </c>
      <c r="N725" s="283"/>
      <c r="O725" s="283"/>
    </row>
    <row r="726" spans="2:15">
      <c r="B726" s="173" t="str">
        <f ca="1"/>
        <v>Valley Stream Central High School District</v>
      </c>
      <c r="C726" s="175">
        <f>IF(COUNTIF(CONTROL!$B$52:$B$101,'Funding by District'!D622)&gt;=1,"",ROW()-104)</f>
        <v>622</v>
      </c>
      <c r="N726" s="283"/>
      <c r="O726" s="283"/>
    </row>
    <row r="727" spans="2:15">
      <c r="B727" s="173" t="str">
        <f ca="1"/>
        <v>Vernon-Verona-Sherrill Central School District</v>
      </c>
      <c r="C727" s="175">
        <f>IF(COUNTIF(CONTROL!$B$52:$B$101,'Funding by District'!D623)&gt;=1,"",ROW()-104)</f>
        <v>623</v>
      </c>
      <c r="N727" s="283"/>
      <c r="O727" s="283"/>
    </row>
    <row r="728" spans="2:15">
      <c r="B728" s="173" t="str">
        <f ca="1"/>
        <v>Vestal Central School District</v>
      </c>
      <c r="C728" s="175">
        <f>IF(COUNTIF(CONTROL!$B$52:$B$101,'Funding by District'!D624)&gt;=1,"",ROW()-104)</f>
        <v>624</v>
      </c>
      <c r="N728" s="283"/>
      <c r="O728" s="283"/>
    </row>
    <row r="729" spans="2:15">
      <c r="B729" s="173" t="str">
        <f ca="1"/>
        <v>Victor Central School District</v>
      </c>
      <c r="C729" s="175">
        <f>IF(COUNTIF(CONTROL!$B$52:$B$101,'Funding by District'!D625)&gt;=1,"",ROW()-104)</f>
        <v>625</v>
      </c>
      <c r="N729" s="283"/>
      <c r="O729" s="283"/>
    </row>
    <row r="730" spans="2:15">
      <c r="B730" s="173" t="str">
        <f ca="1"/>
        <v>Voorheesville Central School District</v>
      </c>
      <c r="C730" s="175">
        <f>IF(COUNTIF(CONTROL!$B$52:$B$101,'Funding by District'!D626)&gt;=1,"",ROW()-104)</f>
        <v>626</v>
      </c>
      <c r="N730" s="283"/>
      <c r="O730" s="283"/>
    </row>
    <row r="731" spans="2:15">
      <c r="B731" s="173" t="str">
        <f ca="1"/>
        <v>Wainscott Common School District</v>
      </c>
      <c r="C731" s="175">
        <f>IF(COUNTIF(CONTROL!$B$52:$B$101,'Funding by District'!D627)&gt;=1,"",ROW()-104)</f>
        <v>627</v>
      </c>
      <c r="N731" s="283"/>
      <c r="O731" s="283"/>
    </row>
    <row r="732" spans="2:15">
      <c r="B732" s="173" t="str">
        <f ca="1"/>
        <v>Wallkill Central School District</v>
      </c>
      <c r="C732" s="175">
        <f>IF(COUNTIF(CONTROL!$B$52:$B$101,'Funding by District'!D628)&gt;=1,"",ROW()-104)</f>
        <v>628</v>
      </c>
      <c r="N732" s="283"/>
      <c r="O732" s="283"/>
    </row>
    <row r="733" spans="2:15">
      <c r="B733" s="173" t="str">
        <f ca="1"/>
        <v>Walton Central School District</v>
      </c>
      <c r="C733" s="175">
        <f>IF(COUNTIF(CONTROL!$B$52:$B$101,'Funding by District'!D629)&gt;=1,"",ROW()-104)</f>
        <v>629</v>
      </c>
      <c r="N733" s="283"/>
      <c r="O733" s="283"/>
    </row>
    <row r="734" spans="2:15">
      <c r="B734" s="173" t="str">
        <f ca="1"/>
        <v>Wantagh Union Free School District</v>
      </c>
      <c r="C734" s="175">
        <f>IF(COUNTIF(CONTROL!$B$52:$B$101,'Funding by District'!D630)&gt;=1,"",ROW()-104)</f>
        <v>630</v>
      </c>
      <c r="N734" s="283"/>
      <c r="O734" s="283"/>
    </row>
    <row r="735" spans="2:15">
      <c r="B735" s="173" t="str">
        <f ca="1"/>
        <v>Wappingers Central School District</v>
      </c>
      <c r="C735" s="175">
        <f>IF(COUNTIF(CONTROL!$B$52:$B$101,'Funding by District'!D631)&gt;=1,"",ROW()-104)</f>
        <v>631</v>
      </c>
      <c r="N735" s="283"/>
      <c r="O735" s="283"/>
    </row>
    <row r="736" spans="2:15">
      <c r="B736" s="173" t="str">
        <f ca="1"/>
        <v>Warrensburg Central School District</v>
      </c>
      <c r="C736" s="175">
        <f>IF(COUNTIF(CONTROL!$B$52:$B$101,'Funding by District'!D632)&gt;=1,"",ROW()-104)</f>
        <v>632</v>
      </c>
      <c r="N736" s="283"/>
      <c r="O736" s="283"/>
    </row>
    <row r="737" spans="2:15">
      <c r="B737" s="173" t="str">
        <f ca="1"/>
        <v>Warsaw Central School District</v>
      </c>
      <c r="C737" s="175">
        <f>IF(COUNTIF(CONTROL!$B$52:$B$101,'Funding by District'!D633)&gt;=1,"",ROW()-104)</f>
        <v>633</v>
      </c>
      <c r="N737" s="283"/>
      <c r="O737" s="283"/>
    </row>
    <row r="738" spans="2:15">
      <c r="B738" s="173" t="str">
        <f ca="1"/>
        <v>Warwick Valley Central School District</v>
      </c>
      <c r="C738" s="175">
        <f>IF(COUNTIF(CONTROL!$B$52:$B$101,'Funding by District'!D634)&gt;=1,"",ROW()-104)</f>
        <v>634</v>
      </c>
      <c r="N738" s="283"/>
      <c r="O738" s="283"/>
    </row>
    <row r="739" spans="2:15">
      <c r="B739" s="173" t="str">
        <f ca="1"/>
        <v>Washingtonville Central School District</v>
      </c>
      <c r="C739" s="175">
        <f>IF(COUNTIF(CONTROL!$B$52:$B$101,'Funding by District'!D635)&gt;=1,"",ROW()-104)</f>
        <v>635</v>
      </c>
      <c r="N739" s="283"/>
      <c r="O739" s="283"/>
    </row>
    <row r="740" spans="2:15">
      <c r="B740" s="173" t="str">
        <f ca="1"/>
        <v>Waterford-Halfmoon Union Free School District</v>
      </c>
      <c r="C740" s="175">
        <f>IF(COUNTIF(CONTROL!$B$52:$B$101,'Funding by District'!D636)&gt;=1,"",ROW()-104)</f>
        <v>636</v>
      </c>
      <c r="N740" s="283"/>
      <c r="O740" s="283"/>
    </row>
    <row r="741" spans="2:15">
      <c r="B741" s="173" t="str">
        <f ca="1"/>
        <v>Waterloo Central School District</v>
      </c>
      <c r="C741" s="175">
        <f>IF(COUNTIF(CONTROL!$B$52:$B$101,'Funding by District'!D637)&gt;=1,"",ROW()-104)</f>
        <v>637</v>
      </c>
      <c r="N741" s="283"/>
      <c r="O741" s="283"/>
    </row>
    <row r="742" spans="2:15">
      <c r="B742" s="173" t="str">
        <f ca="1"/>
        <v>Watertown City School District</v>
      </c>
      <c r="C742" s="175">
        <f>IF(COUNTIF(CONTROL!$B$52:$B$101,'Funding by District'!D638)&gt;=1,"",ROW()-104)</f>
        <v>638</v>
      </c>
      <c r="N742" s="283"/>
      <c r="O742" s="283"/>
    </row>
    <row r="743" spans="2:15">
      <c r="B743" s="173" t="str">
        <f ca="1"/>
        <v>Waterville Central School District</v>
      </c>
      <c r="C743" s="175">
        <f>IF(COUNTIF(CONTROL!$B$52:$B$101,'Funding by District'!D639)&gt;=1,"",ROW()-104)</f>
        <v>639</v>
      </c>
      <c r="N743" s="283"/>
      <c r="O743" s="283"/>
    </row>
    <row r="744" spans="2:15">
      <c r="B744" s="173" t="str">
        <f ca="1"/>
        <v>Watervliet City School District</v>
      </c>
      <c r="C744" s="175">
        <f>IF(COUNTIF(CONTROL!$B$52:$B$101,'Funding by District'!D640)&gt;=1,"",ROW()-104)</f>
        <v>640</v>
      </c>
      <c r="N744" s="283"/>
      <c r="O744" s="283"/>
    </row>
    <row r="745" spans="2:15">
      <c r="B745" s="173" t="str">
        <f ca="1"/>
        <v>Watkins Glen Central School District</v>
      </c>
      <c r="C745" s="175">
        <f>IF(COUNTIF(CONTROL!$B$52:$B$101,'Funding by District'!D641)&gt;=1,"",ROW()-104)</f>
        <v>641</v>
      </c>
      <c r="N745" s="283"/>
      <c r="O745" s="283"/>
    </row>
    <row r="746" spans="2:15">
      <c r="B746" s="173" t="str">
        <f ca="1"/>
        <v>Waverly Central School District</v>
      </c>
      <c r="C746" s="175">
        <f>IF(COUNTIF(CONTROL!$B$52:$B$101,'Funding by District'!D642)&gt;=1,"",ROW()-104)</f>
        <v>642</v>
      </c>
      <c r="N746" s="283"/>
      <c r="O746" s="283"/>
    </row>
    <row r="747" spans="2:15">
      <c r="B747" s="173" t="str">
        <f ca="1"/>
        <v>Wayland-Cohocton Central School District</v>
      </c>
      <c r="C747" s="175">
        <f>IF(COUNTIF(CONTROL!$B$52:$B$101,'Funding by District'!D643)&gt;=1,"",ROW()-104)</f>
        <v>643</v>
      </c>
      <c r="N747" s="283"/>
      <c r="O747" s="283"/>
    </row>
    <row r="748" spans="2:15">
      <c r="B748" s="173" t="str">
        <f ca="1"/>
        <v>Wayne Central School District</v>
      </c>
      <c r="C748" s="175">
        <f>IF(COUNTIF(CONTROL!$B$52:$B$101,'Funding by District'!D644)&gt;=1,"",ROW()-104)</f>
        <v>644</v>
      </c>
      <c r="N748" s="283"/>
      <c r="O748" s="283"/>
    </row>
    <row r="749" spans="2:15">
      <c r="B749" s="173" t="str">
        <f ca="1"/>
        <v>Webster Central School District</v>
      </c>
      <c r="C749" s="175">
        <f>IF(COUNTIF(CONTROL!$B$52:$B$101,'Funding by District'!D645)&gt;=1,"",ROW()-104)</f>
        <v>645</v>
      </c>
      <c r="N749" s="283"/>
      <c r="O749" s="283"/>
    </row>
    <row r="750" spans="2:15">
      <c r="B750" s="173" t="str">
        <f ca="1"/>
        <v>Webutuck Central School District</v>
      </c>
      <c r="C750" s="175">
        <f>IF(COUNTIF(CONTROL!$B$52:$B$101,'Funding by District'!D646)&gt;=1,"",ROW()-104)</f>
        <v>646</v>
      </c>
      <c r="N750" s="283"/>
      <c r="O750" s="283"/>
    </row>
    <row r="751" spans="2:15">
      <c r="B751" s="173" t="str">
        <f ca="1"/>
        <v>Weedsport Central School District</v>
      </c>
      <c r="C751" s="175">
        <f>IF(COUNTIF(CONTROL!$B$52:$B$101,'Funding by District'!D647)&gt;=1,"",ROW()-104)</f>
        <v>647</v>
      </c>
      <c r="N751" s="283"/>
      <c r="O751" s="283"/>
    </row>
    <row r="752" spans="2:15">
      <c r="B752" s="173" t="str">
        <f ca="1"/>
        <v>Wells Central School District</v>
      </c>
      <c r="C752" s="175">
        <f>IF(COUNTIF(CONTROL!$B$52:$B$101,'Funding by District'!D648)&gt;=1,"",ROW()-104)</f>
        <v>648</v>
      </c>
      <c r="N752" s="283"/>
      <c r="O752" s="283"/>
    </row>
    <row r="753" spans="2:15">
      <c r="B753" s="173" t="str">
        <f ca="1"/>
        <v>Wellsville Central School District</v>
      </c>
      <c r="C753" s="175">
        <f>IF(COUNTIF(CONTROL!$B$52:$B$101,'Funding by District'!D649)&gt;=1,"",ROW()-104)</f>
        <v>649</v>
      </c>
      <c r="N753" s="283"/>
      <c r="O753" s="283"/>
    </row>
    <row r="754" spans="2:15">
      <c r="B754" s="173" t="str">
        <f ca="1"/>
        <v>West Babylon Union Free School District</v>
      </c>
      <c r="C754" s="175">
        <f>IF(COUNTIF(CONTROL!$B$52:$B$101,'Funding by District'!D650)&gt;=1,"",ROW()-104)</f>
        <v>650</v>
      </c>
      <c r="N754" s="283"/>
      <c r="O754" s="283"/>
    </row>
    <row r="755" spans="2:15">
      <c r="B755" s="173" t="str">
        <f ca="1"/>
        <v>West Canada Valley Central School District</v>
      </c>
      <c r="C755" s="175">
        <f>IF(COUNTIF(CONTROL!$B$52:$B$101,'Funding by District'!D651)&gt;=1,"",ROW()-104)</f>
        <v>651</v>
      </c>
      <c r="N755" s="283"/>
      <c r="O755" s="283"/>
    </row>
    <row r="756" spans="2:15">
      <c r="B756" s="173" t="str">
        <f ca="1"/>
        <v>West Genesee Central School District</v>
      </c>
      <c r="C756" s="175">
        <f>IF(COUNTIF(CONTROL!$B$52:$B$101,'Funding by District'!D652)&gt;=1,"",ROW()-104)</f>
        <v>652</v>
      </c>
      <c r="N756" s="283"/>
      <c r="O756" s="283"/>
    </row>
    <row r="757" spans="2:15">
      <c r="B757" s="173" t="str">
        <f ca="1"/>
        <v>West Hempstead Union Free School District</v>
      </c>
      <c r="C757" s="175">
        <f>IF(COUNTIF(CONTROL!$B$52:$B$101,'Funding by District'!D653)&gt;=1,"",ROW()-104)</f>
        <v>653</v>
      </c>
      <c r="N757" s="283"/>
      <c r="O757" s="283"/>
    </row>
    <row r="758" spans="2:15">
      <c r="B758" s="173" t="str">
        <f ca="1"/>
        <v>West Irondequoit Central School District</v>
      </c>
      <c r="C758" s="175">
        <f>IF(COUNTIF(CONTROL!$B$52:$B$101,'Funding by District'!D654)&gt;=1,"",ROW()-104)</f>
        <v>654</v>
      </c>
      <c r="N758" s="283"/>
      <c r="O758" s="283"/>
    </row>
    <row r="759" spans="2:15">
      <c r="B759" s="173" t="str">
        <f ca="1"/>
        <v>West Islip Union Free School District</v>
      </c>
      <c r="C759" s="175">
        <f>IF(COUNTIF(CONTROL!$B$52:$B$101,'Funding by District'!D655)&gt;=1,"",ROW()-104)</f>
        <v>655</v>
      </c>
      <c r="N759" s="283"/>
      <c r="O759" s="283"/>
    </row>
    <row r="760" spans="2:15">
      <c r="B760" s="173" t="str">
        <f ca="1"/>
        <v>West Seneca Central School District</v>
      </c>
      <c r="C760" s="175">
        <f>IF(COUNTIF(CONTROL!$B$52:$B$101,'Funding by District'!D656)&gt;=1,"",ROW()-104)</f>
        <v>656</v>
      </c>
      <c r="N760" s="283"/>
      <c r="O760" s="283"/>
    </row>
    <row r="761" spans="2:15">
      <c r="B761" s="173" t="str">
        <f ca="1"/>
        <v>West Valley Central School District</v>
      </c>
      <c r="C761" s="175">
        <f>IF(COUNTIF(CONTROL!$B$52:$B$101,'Funding by District'!D657)&gt;=1,"",ROW()-104)</f>
        <v>657</v>
      </c>
      <c r="N761" s="283"/>
      <c r="O761" s="283"/>
    </row>
    <row r="762" spans="2:15">
      <c r="B762" s="173" t="str">
        <f ca="1"/>
        <v>Westbury Union Free School District</v>
      </c>
      <c r="C762" s="175">
        <f>IF(COUNTIF(CONTROL!$B$52:$B$101,'Funding by District'!D658)&gt;=1,"",ROW()-104)</f>
        <v>658</v>
      </c>
      <c r="N762" s="283"/>
      <c r="O762" s="283"/>
    </row>
    <row r="763" spans="2:15">
      <c r="B763" s="173" t="str">
        <f ca="1"/>
        <v>Westfield Academy and Central School District</v>
      </c>
      <c r="C763" s="175">
        <f>IF(COUNTIF(CONTROL!$B$52:$B$101,'Funding by District'!D659)&gt;=1,"",ROW()-104)</f>
        <v>659</v>
      </c>
      <c r="N763" s="283"/>
      <c r="O763" s="283"/>
    </row>
    <row r="764" spans="2:15">
      <c r="B764" s="173" t="str">
        <f ca="1"/>
        <v>Westhampton Beach Union Free School District</v>
      </c>
      <c r="C764" s="175">
        <f>IF(COUNTIF(CONTROL!$B$52:$B$101,'Funding by District'!D660)&gt;=1,"",ROW()-104)</f>
        <v>660</v>
      </c>
      <c r="N764" s="283"/>
      <c r="O764" s="283"/>
    </row>
    <row r="765" spans="2:15">
      <c r="B765" s="173" t="str">
        <f ca="1"/>
        <v>Westhill Central School District</v>
      </c>
      <c r="C765" s="175">
        <f>IF(COUNTIF(CONTROL!$B$52:$B$101,'Funding by District'!D661)&gt;=1,"",ROW()-104)</f>
        <v>661</v>
      </c>
      <c r="N765" s="283"/>
      <c r="O765" s="283"/>
    </row>
    <row r="766" spans="2:15">
      <c r="B766" s="173" t="str">
        <f ca="1"/>
        <v>Westmoreland Central School District</v>
      </c>
      <c r="C766" s="175">
        <f>IF(COUNTIF(CONTROL!$B$52:$B$101,'Funding by District'!D662)&gt;=1,"",ROW()-104)</f>
        <v>662</v>
      </c>
      <c r="N766" s="283"/>
      <c r="O766" s="283"/>
    </row>
    <row r="767" spans="2:15">
      <c r="B767" s="173" t="str">
        <f ca="1"/>
        <v>Wheatland-Chili Central School District</v>
      </c>
      <c r="C767" s="175">
        <f>IF(COUNTIF(CONTROL!$B$52:$B$101,'Funding by District'!D663)&gt;=1,"",ROW()-104)</f>
        <v>663</v>
      </c>
      <c r="N767" s="283"/>
      <c r="O767" s="283"/>
    </row>
    <row r="768" spans="2:15">
      <c r="B768" s="173" t="str">
        <f ca="1"/>
        <v>Wheelerville Union Free School District</v>
      </c>
      <c r="C768" s="175">
        <f>IF(COUNTIF(CONTROL!$B$52:$B$101,'Funding by District'!D664)&gt;=1,"",ROW()-104)</f>
        <v>664</v>
      </c>
      <c r="N768" s="283"/>
      <c r="O768" s="283"/>
    </row>
    <row r="769" spans="2:15">
      <c r="B769" s="173" t="str">
        <f ca="1"/>
        <v>White Plains City School District</v>
      </c>
      <c r="C769" s="175">
        <f>IF(COUNTIF(CONTROL!$B$52:$B$101,'Funding by District'!D665)&gt;=1,"",ROW()-104)</f>
        <v>665</v>
      </c>
      <c r="N769" s="283"/>
      <c r="O769" s="283"/>
    </row>
    <row r="770" spans="2:15">
      <c r="B770" s="173" t="str">
        <f ca="1"/>
        <v>Whitehall Central School District</v>
      </c>
      <c r="C770" s="175">
        <f>IF(COUNTIF(CONTROL!$B$52:$B$101,'Funding by District'!D666)&gt;=1,"",ROW()-104)</f>
        <v>666</v>
      </c>
      <c r="N770" s="283"/>
      <c r="O770" s="283"/>
    </row>
    <row r="771" spans="2:15">
      <c r="B771" s="173" t="str">
        <f ca="1"/>
        <v>Whitesboro Central School District</v>
      </c>
      <c r="C771" s="175">
        <f>IF(COUNTIF(CONTROL!$B$52:$B$101,'Funding by District'!D667)&gt;=1,"",ROW()-104)</f>
        <v>667</v>
      </c>
      <c r="N771" s="283"/>
      <c r="O771" s="283"/>
    </row>
    <row r="772" spans="2:15">
      <c r="B772" s="173" t="str">
        <f ca="1"/>
        <v>Whitesville Central School District</v>
      </c>
      <c r="C772" s="175">
        <f>IF(COUNTIF(CONTROL!$B$52:$B$101,'Funding by District'!D668)&gt;=1,"",ROW()-104)</f>
        <v>668</v>
      </c>
      <c r="N772" s="283"/>
      <c r="O772" s="283"/>
    </row>
    <row r="773" spans="2:15">
      <c r="B773" s="173" t="str">
        <f ca="1"/>
        <v>Whitney Point Central School District</v>
      </c>
      <c r="C773" s="175">
        <f>IF(COUNTIF(CONTROL!$B$52:$B$101,'Funding by District'!D669)&gt;=1,"",ROW()-104)</f>
        <v>669</v>
      </c>
      <c r="N773" s="283"/>
      <c r="O773" s="283"/>
    </row>
    <row r="774" spans="2:15">
      <c r="B774" s="173" t="str">
        <f ca="1"/>
        <v>William Floyd Union Free School District</v>
      </c>
      <c r="C774" s="175">
        <f>IF(COUNTIF(CONTROL!$B$52:$B$101,'Funding by District'!D670)&gt;=1,"",ROW()-104)</f>
        <v>670</v>
      </c>
      <c r="N774" s="283"/>
      <c r="O774" s="283"/>
    </row>
    <row r="775" spans="2:15">
      <c r="B775" s="173" t="str">
        <f ca="1"/>
        <v>Williamson Central School District</v>
      </c>
      <c r="C775" s="175">
        <f>IF(COUNTIF(CONTROL!$B$52:$B$101,'Funding by District'!D671)&gt;=1,"",ROW()-104)</f>
        <v>671</v>
      </c>
      <c r="N775" s="283"/>
      <c r="O775" s="283"/>
    </row>
    <row r="776" spans="2:15">
      <c r="B776" s="173" t="str">
        <f ca="1"/>
        <v>Williamsville Central School District</v>
      </c>
      <c r="C776" s="175">
        <f>IF(COUNTIF(CONTROL!$B$52:$B$101,'Funding by District'!D672)&gt;=1,"",ROW()-104)</f>
        <v>672</v>
      </c>
      <c r="N776" s="283"/>
      <c r="O776" s="283"/>
    </row>
    <row r="777" spans="2:15">
      <c r="B777" s="173" t="str">
        <f ca="1"/>
        <v>Willsboro Central School District</v>
      </c>
      <c r="C777" s="175">
        <f>IF(COUNTIF(CONTROL!$B$52:$B$101,'Funding by District'!D673)&gt;=1,"",ROW()-104)</f>
        <v>673</v>
      </c>
      <c r="N777" s="283"/>
      <c r="O777" s="283"/>
    </row>
    <row r="778" spans="2:15">
      <c r="B778" s="173" t="str">
        <f ca="1"/>
        <v>Wilson Central School District</v>
      </c>
      <c r="C778" s="175">
        <f>IF(COUNTIF(CONTROL!$B$52:$B$101,'Funding by District'!D674)&gt;=1,"",ROW()-104)</f>
        <v>674</v>
      </c>
      <c r="N778" s="283"/>
      <c r="O778" s="283"/>
    </row>
    <row r="779" spans="2:15">
      <c r="B779" s="173" t="str">
        <f ca="1"/>
        <v>Windham-Ashland-Jewett Central School District</v>
      </c>
      <c r="C779" s="175">
        <f>IF(COUNTIF(CONTROL!$B$52:$B$101,'Funding by District'!D675)&gt;=1,"",ROW()-104)</f>
        <v>675</v>
      </c>
      <c r="N779" s="283"/>
      <c r="O779" s="283"/>
    </row>
    <row r="780" spans="2:15">
      <c r="B780" s="173" t="str">
        <f ca="1"/>
        <v>Windsor Central School District</v>
      </c>
      <c r="C780" s="175">
        <f>IF(COUNTIF(CONTROL!$B$52:$B$101,'Funding by District'!D676)&gt;=1,"",ROW()-104)</f>
        <v>676</v>
      </c>
      <c r="N780" s="283"/>
      <c r="O780" s="283"/>
    </row>
    <row r="781" spans="2:15">
      <c r="B781" s="173" t="str">
        <f ca="1"/>
        <v>Worcester Central School District</v>
      </c>
      <c r="C781" s="175">
        <f>IF(COUNTIF(CONTROL!$B$52:$B$101,'Funding by District'!D677)&gt;=1,"",ROW()-104)</f>
        <v>677</v>
      </c>
      <c r="N781" s="283"/>
      <c r="O781" s="283"/>
    </row>
    <row r="782" spans="2:15">
      <c r="B782" s="173" t="str">
        <f ca="1"/>
        <v>Wyandanch Union Free School District</v>
      </c>
      <c r="C782" s="175">
        <f>IF(COUNTIF(CONTROL!$B$52:$B$101,'Funding by District'!D678)&gt;=1,"",ROW()-104)</f>
        <v>678</v>
      </c>
      <c r="N782" s="283"/>
      <c r="O782" s="283"/>
    </row>
    <row r="783" spans="2:15">
      <c r="B783" s="173" t="str">
        <f ca="1"/>
        <v>Wynantskill Union Free School District</v>
      </c>
      <c r="C783" s="175">
        <f>IF(COUNTIF(CONTROL!$B$52:$B$101,'Funding by District'!D679)&gt;=1,"",ROW()-104)</f>
        <v>679</v>
      </c>
      <c r="N783" s="283"/>
      <c r="O783" s="283"/>
    </row>
    <row r="784" spans="2:15">
      <c r="B784" s="173" t="str">
        <f ca="1"/>
        <v>Wyoming Central School District</v>
      </c>
      <c r="C784" s="175">
        <f>IF(COUNTIF(CONTROL!$B$52:$B$101,'Funding by District'!D680)&gt;=1,"",ROW()-104)</f>
        <v>680</v>
      </c>
      <c r="N784" s="283"/>
      <c r="O784" s="283"/>
    </row>
    <row r="785" spans="2:15">
      <c r="B785" s="173" t="str">
        <f ca="1"/>
        <v>Yonkers City School District</v>
      </c>
      <c r="C785" s="175">
        <f>IF(COUNTIF(CONTROL!$B$52:$B$101,'Funding by District'!D681)&gt;=1,"",ROW()-104)</f>
        <v>681</v>
      </c>
      <c r="N785" s="283"/>
      <c r="O785" s="283"/>
    </row>
    <row r="786" spans="2:15">
      <c r="B786" s="173" t="str">
        <f ca="1"/>
        <v>York Central School District</v>
      </c>
      <c r="C786" s="175">
        <f>IF(COUNTIF(CONTROL!$B$52:$B$101,'Funding by District'!D682)&gt;=1,"",ROW()-104)</f>
        <v>682</v>
      </c>
      <c r="N786" s="283"/>
      <c r="O786" s="283"/>
    </row>
    <row r="787" spans="2:15">
      <c r="B787" s="173" t="str">
        <f ca="1"/>
        <v>Yorktown Central School District</v>
      </c>
      <c r="C787" s="175">
        <f>IF(COUNTIF(CONTROL!$B$52:$B$101,'Funding by District'!D683)&gt;=1,"",ROW()-104)</f>
        <v>683</v>
      </c>
      <c r="N787" s="283"/>
      <c r="O787" s="283"/>
    </row>
    <row r="788" spans="2:15">
      <c r="B788" s="173" t="e">
        <f ca="1"/>
        <v>#N/A</v>
      </c>
      <c r="C788" s="175">
        <f>IF(COUNTIF(CONTROL!$B$52:$B$101,'Funding by District'!#REF!)&gt;=1,"",ROW()-104)</f>
        <v>684</v>
      </c>
      <c r="N788" s="283"/>
      <c r="O788" s="283"/>
    </row>
    <row r="789" spans="2:15">
      <c r="B789" s="173" t="e">
        <f ca="1"/>
        <v>#N/A</v>
      </c>
      <c r="C789" s="175">
        <f>IF(COUNTIF(CONTROL!$B$52:$B$101,'Funding by District'!#REF!)&gt;=1,"",ROW()-104)</f>
        <v>685</v>
      </c>
      <c r="N789" s="283"/>
      <c r="O789" s="283"/>
    </row>
    <row r="791" spans="2:15">
      <c r="B791" s="777" t="s">
        <v>522</v>
      </c>
      <c r="C791" s="762"/>
      <c r="D791" s="762"/>
      <c r="E791" s="762"/>
      <c r="F791" s="762"/>
      <c r="G791" s="762"/>
      <c r="H791" s="762"/>
      <c r="I791" s="762"/>
      <c r="J791" s="763"/>
    </row>
    <row r="792" spans="2:15">
      <c r="B792" s="722">
        <v>0</v>
      </c>
      <c r="C792" s="766" t="s">
        <v>533</v>
      </c>
      <c r="D792" s="767"/>
      <c r="E792" s="766"/>
      <c r="F792" s="766"/>
      <c r="G792" s="766"/>
      <c r="H792" s="766"/>
      <c r="I792" s="766"/>
      <c r="J792" s="768"/>
    </row>
    <row r="793" spans="2:15">
      <c r="B793" s="722">
        <v>1</v>
      </c>
      <c r="C793" s="766" t="e">
        <f>"Please enter balance sheet data for the Ed Corp
 "&amp;D801&amp;"
only on this template.
The balance sheet should include data for
all charter schools operated by the Ed Corp."</f>
        <v>#N/A</v>
      </c>
      <c r="D793" s="767"/>
      <c r="E793" s="766"/>
      <c r="F793" s="766"/>
      <c r="G793" s="766"/>
      <c r="H793" s="766"/>
      <c r="I793" s="766"/>
      <c r="J793" s="768"/>
    </row>
    <row r="794" spans="2:15">
      <c r="B794" s="769">
        <v>2</v>
      </c>
      <c r="C794" s="166" t="e">
        <f>"DO NOT ENTER BALANCE SHEET DATA ON THIS TEMPLATE
Balance sheet data for the Ed Corp:
"&amp;D801&amp;"
should be entered on the template for 
"&amp;D802&amp;"."</f>
        <v>#N/A</v>
      </c>
      <c r="D794" s="764"/>
      <c r="E794" s="166"/>
      <c r="F794" s="166"/>
      <c r="G794" s="166"/>
      <c r="H794" s="166"/>
      <c r="I794" s="166"/>
      <c r="J794" s="765"/>
    </row>
    <row r="795" spans="2:15">
      <c r="B795" s="3"/>
      <c r="C795" s="437"/>
      <c r="D795" s="437"/>
      <c r="J795"/>
    </row>
    <row r="796" spans="2:15">
      <c r="B796" s="761" t="s">
        <v>521</v>
      </c>
      <c r="C796" s="722" t="e">
        <f>INDEX(Table2[BS-NeedCode],MATCH(School,Table2[SCHOOLS],0))</f>
        <v>#N/A</v>
      </c>
      <c r="D796"/>
      <c r="E796"/>
      <c r="F796"/>
      <c r="G796"/>
      <c r="H796"/>
      <c r="I796"/>
      <c r="J796"/>
    </row>
    <row r="797" spans="2:15">
      <c r="B797" s="761" t="s">
        <v>523</v>
      </c>
      <c r="C797" s="770" t="e">
        <f>INDEX(C792:C794,MATCH(BSNoteCode,B792:B794,0))</f>
        <v>#N/A</v>
      </c>
      <c r="D797" s="767"/>
      <c r="E797" s="766"/>
      <c r="F797" s="766"/>
      <c r="G797" s="766"/>
      <c r="H797" s="766"/>
      <c r="I797" s="766"/>
      <c r="J797" s="768"/>
    </row>
    <row r="798" spans="2:15" ht="15.75" thickBot="1">
      <c r="B798"/>
      <c r="C798"/>
      <c r="D798"/>
      <c r="E798"/>
      <c r="F798"/>
      <c r="G798"/>
      <c r="H798"/>
      <c r="I798"/>
      <c r="J798"/>
    </row>
    <row r="799" spans="2:15">
      <c r="B799" s="3"/>
      <c r="C799" s="779" t="s">
        <v>547</v>
      </c>
      <c r="D799" s="1058" t="str">
        <f>School</f>
        <v/>
      </c>
      <c r="E799" s="1058"/>
      <c r="F799" s="1058"/>
      <c r="G799" s="1058"/>
      <c r="H799" s="1058"/>
      <c r="I799" s="1058"/>
      <c r="J799" s="1059"/>
    </row>
    <row r="800" spans="2:15">
      <c r="B800" s="3"/>
      <c r="C800" s="780" t="s">
        <v>499</v>
      </c>
      <c r="D800" s="1060" t="e">
        <f>INDEX(Table2[MergeCorpID],MATCH(School,Table2[SCHOOLS],0))</f>
        <v>#N/A</v>
      </c>
      <c r="E800" s="1060"/>
      <c r="F800" s="1060"/>
      <c r="G800" s="1060"/>
      <c r="H800" s="1060"/>
      <c r="I800" s="1060"/>
      <c r="J800" s="1061"/>
    </row>
    <row r="801" spans="1:34">
      <c r="B801" s="3"/>
      <c r="C801" s="780" t="s">
        <v>500</v>
      </c>
      <c r="D801" s="1060" t="e">
        <f t="array" ref="D801">INDEX(Table2[MergeName],MATCH(1,(D800=Table2[MergeCorpID])*(TRUE=Table2[SurvivingEdCorp]),0))</f>
        <v>#N/A</v>
      </c>
      <c r="E801" s="1060"/>
      <c r="F801" s="1060"/>
      <c r="G801" s="1060"/>
      <c r="H801" s="1060"/>
      <c r="I801" s="1060"/>
      <c r="J801" s="1061"/>
    </row>
    <row r="802" spans="1:34" ht="15.75" thickBot="1">
      <c r="B802" s="3"/>
      <c r="C802" s="781" t="s">
        <v>548</v>
      </c>
      <c r="D802" s="1042" t="e">
        <f>INDEX(Table2[SCHOOLS],MATCH(D801,Table2[MergeName],0))</f>
        <v>#N/A</v>
      </c>
      <c r="E802" s="1042"/>
      <c r="F802" s="1042"/>
      <c r="G802" s="1042"/>
      <c r="H802" s="1042"/>
      <c r="I802" s="1042"/>
      <c r="J802" s="1043"/>
      <c r="L802"/>
    </row>
    <row r="803" spans="1:34">
      <c r="L803"/>
    </row>
    <row r="804" spans="1:34">
      <c r="L804"/>
    </row>
    <row r="805" spans="1:34">
      <c r="H805" s="1" t="s">
        <v>518</v>
      </c>
      <c r="L805"/>
    </row>
    <row r="806" spans="1:34">
      <c r="C806" s="437"/>
      <c r="H806" s="1" t="s">
        <v>519</v>
      </c>
      <c r="L806"/>
    </row>
    <row r="807" spans="1:34">
      <c r="H807" s="1" t="s">
        <v>520</v>
      </c>
    </row>
    <row r="808" spans="1:34" ht="29.25" customHeight="1">
      <c r="B808" s="704" t="s">
        <v>377</v>
      </c>
      <c r="C808" s="912" t="s">
        <v>501</v>
      </c>
      <c r="D808" s="913" t="s">
        <v>502</v>
      </c>
      <c r="E808" s="913" t="s">
        <v>499</v>
      </c>
      <c r="F808" s="705" t="s">
        <v>500</v>
      </c>
      <c r="G808" s="706" t="s">
        <v>572</v>
      </c>
      <c r="H808" s="1" t="s">
        <v>517</v>
      </c>
      <c r="I808" s="3"/>
      <c r="J808" s="1"/>
      <c r="Q808"/>
      <c r="AH808" s="1"/>
    </row>
    <row r="809" spans="1:34">
      <c r="B809" s="938" t="s">
        <v>661</v>
      </c>
      <c r="C809" s="935" t="s">
        <v>498</v>
      </c>
      <c r="D809" s="935" t="s">
        <v>498</v>
      </c>
      <c r="E809" s="941" t="s">
        <v>498</v>
      </c>
      <c r="F809" s="934" t="s">
        <v>498</v>
      </c>
      <c r="G809" s="32" t="s">
        <v>498</v>
      </c>
      <c r="H809" s="32" t="s">
        <v>498</v>
      </c>
      <c r="J809" s="1"/>
      <c r="AH809" s="1"/>
    </row>
    <row r="810" spans="1:34">
      <c r="A810"/>
      <c r="B810" s="937" t="s">
        <v>574</v>
      </c>
      <c r="C810" s="940">
        <v>2017</v>
      </c>
      <c r="D810" s="939"/>
      <c r="E810" s="939"/>
      <c r="F810" s="936"/>
      <c r="G810" s="953" t="b">
        <f>IF(ISBLANK(Table2[[#This Row],[MergeCorpID]]=TRUE),"",AND(ISNUMBER(Table2[[#This Row],[MergeCorpID]])=TRUE,ISBLANK(Table2[[#This Row],[MergeName]])=FALSE))</f>
        <v>0</v>
      </c>
      <c r="H810" s="954">
        <f>IF(ISBLANK(Table2[[#This Row],[MergeCorpID]])=TRUE,0,IF(Table2[[#This Row],[SurvivingEdCorp]]=TRUE,1,2))</f>
        <v>0</v>
      </c>
      <c r="J810" s="1"/>
      <c r="AH810" s="1"/>
    </row>
    <row r="811" spans="1:34">
      <c r="B811" s="938" t="s">
        <v>646</v>
      </c>
      <c r="C811" s="935">
        <v>2018</v>
      </c>
      <c r="D811" s="935">
        <v>2019</v>
      </c>
      <c r="E811" s="941">
        <v>521</v>
      </c>
      <c r="F811" s="934"/>
      <c r="G811" s="955" t="b">
        <f>IF(ISBLANK(Table2[[#This Row],[MergeCorpID]]=TRUE),"",AND(ISNUMBER(Table2[[#This Row],[MergeCorpID]])=TRUE,ISBLANK(Table2[[#This Row],[MergeName]])=FALSE))</f>
        <v>0</v>
      </c>
      <c r="H811" s="956">
        <f>IF(ISBLANK(Table2[[#This Row],[MergeCorpID]])=TRUE,0,IF(Table2[[#This Row],[SurvivingEdCorp]]=TRUE,1,2))</f>
        <v>2</v>
      </c>
      <c r="J811" s="1"/>
    </row>
    <row r="812" spans="1:34">
      <c r="B812" s="937" t="s">
        <v>1362</v>
      </c>
      <c r="C812" s="940">
        <v>2022</v>
      </c>
      <c r="D812" s="939"/>
      <c r="E812" s="939"/>
      <c r="F812" s="936"/>
      <c r="G812" s="953" t="b">
        <f>IF(ISBLANK(Table2[[#This Row],[MergeCorpID]]=TRUE),"",AND(ISNUMBER(Table2[[#This Row],[MergeCorpID]])=TRUE,ISBLANK(Table2[[#This Row],[MergeName]])=FALSE))</f>
        <v>0</v>
      </c>
      <c r="H812" s="954">
        <f>IF(ISBLANK(Table2[[#This Row],[MergeCorpID]])=TRUE,0,IF(Table2[[#This Row],[SurvivingEdCorp]]=TRUE,1,2))</f>
        <v>0</v>
      </c>
      <c r="J812" s="1"/>
    </row>
    <row r="813" spans="1:34">
      <c r="B813" s="938" t="s">
        <v>378</v>
      </c>
      <c r="C813" s="935">
        <v>2009</v>
      </c>
      <c r="D813" s="935">
        <v>2019</v>
      </c>
      <c r="E813" s="941">
        <v>521</v>
      </c>
      <c r="F813" s="934" t="s">
        <v>575</v>
      </c>
      <c r="G813" s="955" t="b">
        <f>IF(ISBLANK(Table2[[#This Row],[MergeCorpID]]=TRUE),"",AND(ISNUMBER(Table2[[#This Row],[MergeCorpID]])=TRUE,ISBLANK(Table2[[#This Row],[MergeName]])=FALSE))</f>
        <v>1</v>
      </c>
      <c r="H813" s="956">
        <f>IF(ISBLANK(Table2[[#This Row],[MergeCorpID]])=TRUE,0,IF(Table2[[#This Row],[SurvivingEdCorp]]=TRUE,1,2))</f>
        <v>1</v>
      </c>
      <c r="J813" s="1"/>
    </row>
    <row r="814" spans="1:34">
      <c r="B814" s="937" t="s">
        <v>432</v>
      </c>
      <c r="C814" s="940">
        <v>2011</v>
      </c>
      <c r="D814" s="939"/>
      <c r="E814" s="939"/>
      <c r="F814" s="936"/>
      <c r="G814" s="953" t="b">
        <f>IF(ISBLANK(Table2[[#This Row],[MergeCorpID]]=TRUE),"",AND(ISNUMBER(Table2[[#This Row],[MergeCorpID]])=TRUE,ISBLANK(Table2[[#This Row],[MergeName]])=FALSE))</f>
        <v>0</v>
      </c>
      <c r="H814" s="954">
        <f>IF(ISBLANK(Table2[[#This Row],[MergeCorpID]])=TRUE,0,IF(Table2[[#This Row],[SurvivingEdCorp]]=TRUE,1,2))</f>
        <v>0</v>
      </c>
      <c r="J814" s="1"/>
    </row>
    <row r="815" spans="1:34">
      <c r="B815" s="938" t="s">
        <v>381</v>
      </c>
      <c r="C815" s="935">
        <v>2010</v>
      </c>
      <c r="D815" s="935">
        <v>2016</v>
      </c>
      <c r="E815" s="941">
        <v>511</v>
      </c>
      <c r="F815" s="934"/>
      <c r="G815" s="955" t="b">
        <f>IF(ISBLANK(Table2[[#This Row],[MergeCorpID]]=TRUE),"",AND(ISNUMBER(Table2[[#This Row],[MergeCorpID]])=TRUE,ISBLANK(Table2[[#This Row],[MergeName]])=FALSE))</f>
        <v>0</v>
      </c>
      <c r="H815" s="956">
        <f>IF(ISBLANK(Table2[[#This Row],[MergeCorpID]])=TRUE,0,IF(Table2[[#This Row],[SurvivingEdCorp]]=TRUE,1,2))</f>
        <v>2</v>
      </c>
      <c r="J815" s="1"/>
    </row>
    <row r="816" spans="1:34">
      <c r="B816" s="937" t="s">
        <v>440</v>
      </c>
      <c r="C816" s="940">
        <v>2013</v>
      </c>
      <c r="D816" s="939">
        <v>2016</v>
      </c>
      <c r="E816" s="939">
        <v>511</v>
      </c>
      <c r="F816" s="936"/>
      <c r="G816" s="953" t="b">
        <f>IF(ISBLANK(Table2[[#This Row],[MergeCorpID]]=TRUE),"",AND(ISNUMBER(Table2[[#This Row],[MergeCorpID]])=TRUE,ISBLANK(Table2[[#This Row],[MergeName]])=FALSE))</f>
        <v>0</v>
      </c>
      <c r="H816" s="954">
        <f>IF(ISBLANK(Table2[[#This Row],[MergeCorpID]])=TRUE,0,IF(Table2[[#This Row],[SurvivingEdCorp]]=TRUE,1,2))</f>
        <v>2</v>
      </c>
      <c r="J816" s="1"/>
    </row>
    <row r="817" spans="2:10">
      <c r="B817" s="938" t="s">
        <v>379</v>
      </c>
      <c r="C817" s="935">
        <v>2008</v>
      </c>
      <c r="D817" s="935">
        <v>2016</v>
      </c>
      <c r="E817" s="941">
        <v>511</v>
      </c>
      <c r="F817" s="934"/>
      <c r="G817" s="955" t="b">
        <f>IF(ISBLANK(Table2[[#This Row],[MergeCorpID]]=TRUE),"",AND(ISNUMBER(Table2[[#This Row],[MergeCorpID]])=TRUE,ISBLANK(Table2[[#This Row],[MergeName]])=FALSE))</f>
        <v>0</v>
      </c>
      <c r="H817" s="956">
        <f>IF(ISBLANK(Table2[[#This Row],[MergeCorpID]])=TRUE,0,IF(Table2[[#This Row],[SurvivingEdCorp]]=TRUE,1,2))</f>
        <v>2</v>
      </c>
      <c r="J817" s="1"/>
    </row>
    <row r="818" spans="2:10">
      <c r="B818" s="937" t="s">
        <v>380</v>
      </c>
      <c r="C818" s="940">
        <v>2006</v>
      </c>
      <c r="D818" s="939">
        <v>2016</v>
      </c>
      <c r="E818" s="939">
        <v>511</v>
      </c>
      <c r="F818" s="936" t="s">
        <v>576</v>
      </c>
      <c r="G818" s="953" t="b">
        <f>IF(ISBLANK(Table2[[#This Row],[MergeCorpID]]=TRUE),"",AND(ISNUMBER(Table2[[#This Row],[MergeCorpID]])=TRUE,ISBLANK(Table2[[#This Row],[MergeName]])=FALSE))</f>
        <v>1</v>
      </c>
      <c r="H818" s="954">
        <f>IF(ISBLANK(Table2[[#This Row],[MergeCorpID]])=TRUE,0,IF(Table2[[#This Row],[SurvivingEdCorp]]=TRUE,1,2))</f>
        <v>1</v>
      </c>
      <c r="J818" s="1"/>
    </row>
    <row r="819" spans="2:10">
      <c r="B819" s="938" t="s">
        <v>1349</v>
      </c>
      <c r="C819" s="935">
        <v>2022</v>
      </c>
      <c r="D819" s="935">
        <v>2022</v>
      </c>
      <c r="E819" s="941">
        <v>511</v>
      </c>
      <c r="F819" s="934"/>
      <c r="G819" s="955" t="b">
        <f>IF(ISBLANK(Table2[[#This Row],[MergeCorpID]]=TRUE),"",AND(ISNUMBER(Table2[[#This Row],[MergeCorpID]])=TRUE,ISBLANK(Table2[[#This Row],[MergeName]])=FALSE))</f>
        <v>0</v>
      </c>
      <c r="H819" s="956">
        <f>IF(ISBLANK(Table2[[#This Row],[MergeCorpID]])=TRUE,0,IF(Table2[[#This Row],[SurvivingEdCorp]]=TRUE,1,2))</f>
        <v>2</v>
      </c>
      <c r="J819" s="1"/>
    </row>
    <row r="820" spans="2:10">
      <c r="B820" s="937" t="s">
        <v>482</v>
      </c>
      <c r="C820" s="940">
        <v>2016</v>
      </c>
      <c r="D820" s="939">
        <v>2017</v>
      </c>
      <c r="E820" s="939">
        <v>511</v>
      </c>
      <c r="F820" s="936"/>
      <c r="G820" s="953" t="b">
        <f>IF(ISBLANK(Table2[[#This Row],[MergeCorpID]]=TRUE),"",AND(ISNUMBER(Table2[[#This Row],[MergeCorpID]])=TRUE,ISBLANK(Table2[[#This Row],[MergeName]])=FALSE))</f>
        <v>0</v>
      </c>
      <c r="H820" s="954">
        <f>IF(ISBLANK(Table2[[#This Row],[MergeCorpID]])=TRUE,0,IF(Table2[[#This Row],[SurvivingEdCorp]]=TRUE,1,2))</f>
        <v>2</v>
      </c>
      <c r="J820" s="1"/>
    </row>
    <row r="821" spans="2:10">
      <c r="B821" s="938" t="s">
        <v>483</v>
      </c>
      <c r="C821" s="935">
        <v>2016</v>
      </c>
      <c r="D821" s="935">
        <v>2017</v>
      </c>
      <c r="E821" s="941">
        <v>511</v>
      </c>
      <c r="F821" s="934"/>
      <c r="G821" s="955" t="b">
        <f>IF(ISBLANK(Table2[[#This Row],[MergeCorpID]]=TRUE),"",AND(ISNUMBER(Table2[[#This Row],[MergeCorpID]])=TRUE,ISBLANK(Table2[[#This Row],[MergeName]])=FALSE))</f>
        <v>0</v>
      </c>
      <c r="H821" s="956">
        <f>IF(ISBLANK(Table2[[#This Row],[MergeCorpID]])=TRUE,0,IF(Table2[[#This Row],[SurvivingEdCorp]]=TRUE,1,2))</f>
        <v>2</v>
      </c>
      <c r="J821" s="1"/>
    </row>
    <row r="822" spans="2:10">
      <c r="B822" s="937" t="s">
        <v>484</v>
      </c>
      <c r="C822" s="940">
        <v>2016</v>
      </c>
      <c r="D822" s="939">
        <v>2017</v>
      </c>
      <c r="E822" s="939">
        <v>511</v>
      </c>
      <c r="F822" s="936"/>
      <c r="G822" s="953" t="b">
        <f>IF(ISBLANK(Table2[[#This Row],[MergeCorpID]]=TRUE),"",AND(ISNUMBER(Table2[[#This Row],[MergeCorpID]])=TRUE,ISBLANK(Table2[[#This Row],[MergeName]])=FALSE))</f>
        <v>0</v>
      </c>
      <c r="H822" s="954">
        <f>IF(ISBLANK(Table2[[#This Row],[MergeCorpID]])=TRUE,0,IF(Table2[[#This Row],[SurvivingEdCorp]]=TRUE,1,2))</f>
        <v>2</v>
      </c>
      <c r="J822" s="1"/>
    </row>
    <row r="823" spans="2:10">
      <c r="B823" s="938" t="s">
        <v>1347</v>
      </c>
      <c r="C823" s="935">
        <v>2021</v>
      </c>
      <c r="D823" s="935">
        <v>2022</v>
      </c>
      <c r="E823" s="941">
        <v>511</v>
      </c>
      <c r="F823" s="934"/>
      <c r="G823" s="955" t="b">
        <f>IF(ISBLANK(Table2[[#This Row],[MergeCorpID]]=TRUE),"",AND(ISNUMBER(Table2[[#This Row],[MergeCorpID]])=TRUE,ISBLANK(Table2[[#This Row],[MergeName]])=FALSE))</f>
        <v>0</v>
      </c>
      <c r="H823" s="956">
        <f>IF(ISBLANK(Table2[[#This Row],[MergeCorpID]])=TRUE,0,IF(Table2[[#This Row],[SurvivingEdCorp]]=TRUE,1,2))</f>
        <v>2</v>
      </c>
      <c r="J823" s="1"/>
    </row>
    <row r="824" spans="2:10">
      <c r="B824" s="937" t="s">
        <v>465</v>
      </c>
      <c r="C824" s="940">
        <v>2014</v>
      </c>
      <c r="D824" s="939">
        <v>2016</v>
      </c>
      <c r="E824" s="939">
        <v>511</v>
      </c>
      <c r="F824" s="936"/>
      <c r="G824" s="953" t="b">
        <f>IF(ISBLANK(Table2[[#This Row],[MergeCorpID]]=TRUE),"",AND(ISNUMBER(Table2[[#This Row],[MergeCorpID]])=TRUE,ISBLANK(Table2[[#This Row],[MergeName]])=FALSE))</f>
        <v>0</v>
      </c>
      <c r="H824" s="954">
        <f>IF(ISBLANK(Table2[[#This Row],[MergeCorpID]])=TRUE,0,IF(Table2[[#This Row],[SurvivingEdCorp]]=TRUE,1,2))</f>
        <v>2</v>
      </c>
      <c r="J824" s="1"/>
    </row>
    <row r="825" spans="2:10">
      <c r="B825" s="938" t="s">
        <v>461</v>
      </c>
      <c r="C825" s="935">
        <v>2014</v>
      </c>
      <c r="D825" s="935">
        <v>2016</v>
      </c>
      <c r="E825" s="941">
        <v>511</v>
      </c>
      <c r="F825" s="934"/>
      <c r="G825" s="955" t="b">
        <f>IF(ISBLANK(Table2[[#This Row],[MergeCorpID]]=TRUE),"",AND(ISNUMBER(Table2[[#This Row],[MergeCorpID]])=TRUE,ISBLANK(Table2[[#This Row],[MergeName]])=FALSE))</f>
        <v>0</v>
      </c>
      <c r="H825" s="956">
        <f>IF(ISBLANK(Table2[[#This Row],[MergeCorpID]])=TRUE,0,IF(Table2[[#This Row],[SurvivingEdCorp]]=TRUE,1,2))</f>
        <v>2</v>
      </c>
      <c r="J825" s="1"/>
    </row>
    <row r="826" spans="2:10">
      <c r="B826" s="937" t="s">
        <v>503</v>
      </c>
      <c r="C826" s="940">
        <v>2016</v>
      </c>
      <c r="D826" s="939">
        <v>2016</v>
      </c>
      <c r="E826" s="939">
        <v>511</v>
      </c>
      <c r="F826" s="936"/>
      <c r="G826" s="953" t="b">
        <f>IF(ISBLANK(Table2[[#This Row],[MergeCorpID]]=TRUE),"",AND(ISNUMBER(Table2[[#This Row],[MergeCorpID]])=TRUE,ISBLANK(Table2[[#This Row],[MergeName]])=FALSE))</f>
        <v>0</v>
      </c>
      <c r="H826" s="954">
        <f>IF(ISBLANK(Table2[[#This Row],[MergeCorpID]])=TRUE,0,IF(Table2[[#This Row],[SurvivingEdCorp]]=TRUE,1,2))</f>
        <v>2</v>
      </c>
      <c r="J826" s="1"/>
    </row>
    <row r="827" spans="2:10">
      <c r="B827" s="938" t="s">
        <v>382</v>
      </c>
      <c r="C827" s="935">
        <v>2010</v>
      </c>
      <c r="D827" s="935"/>
      <c r="E827" s="941"/>
      <c r="F827" s="934"/>
      <c r="G827" s="955" t="b">
        <f>IF(ISBLANK(Table2[[#This Row],[MergeCorpID]]=TRUE),"",AND(ISNUMBER(Table2[[#This Row],[MergeCorpID]])=TRUE,ISBLANK(Table2[[#This Row],[MergeName]])=FALSE))</f>
        <v>0</v>
      </c>
      <c r="H827" s="956">
        <f>IF(ISBLANK(Table2[[#This Row],[MergeCorpID]])=TRUE,0,IF(Table2[[#This Row],[SurvivingEdCorp]]=TRUE,1,2))</f>
        <v>0</v>
      </c>
      <c r="J827" s="1"/>
    </row>
    <row r="828" spans="2:10">
      <c r="B828" s="937" t="s">
        <v>577</v>
      </c>
      <c r="C828" s="940">
        <v>2000</v>
      </c>
      <c r="D828" s="939">
        <v>2017</v>
      </c>
      <c r="E828" s="939">
        <v>522</v>
      </c>
      <c r="F828" s="936" t="s">
        <v>578</v>
      </c>
      <c r="G828" s="953" t="b">
        <f>IF(ISBLANK(Table2[[#This Row],[MergeCorpID]]=TRUE),"",AND(ISNUMBER(Table2[[#This Row],[MergeCorpID]])=TRUE,ISBLANK(Table2[[#This Row],[MergeName]])=FALSE))</f>
        <v>1</v>
      </c>
      <c r="H828" s="954">
        <f>IF(ISBLANK(Table2[[#This Row],[MergeCorpID]])=TRUE,0,IF(Table2[[#This Row],[SurvivingEdCorp]]=TRUE,1,2))</f>
        <v>1</v>
      </c>
      <c r="J828" s="1"/>
    </row>
    <row r="829" spans="2:10">
      <c r="B829" s="937" t="s">
        <v>1346</v>
      </c>
      <c r="C829" s="940">
        <v>2021</v>
      </c>
      <c r="D829" s="939">
        <v>2021</v>
      </c>
      <c r="E829" s="939">
        <v>522</v>
      </c>
      <c r="F829" s="936"/>
      <c r="G829" s="955" t="b">
        <f>IF(ISBLANK(Table2[[#This Row],[MergeCorpID]]=TRUE),"",AND(ISNUMBER(Table2[[#This Row],[MergeCorpID]])=TRUE,ISBLANK(Table2[[#This Row],[MergeName]])=FALSE))</f>
        <v>0</v>
      </c>
      <c r="H829" s="956">
        <f>IF(ISBLANK(Table2[[#This Row],[MergeCorpID]])=TRUE,0,IF(Table2[[#This Row],[SurvivingEdCorp]]=TRUE,1,2))</f>
        <v>2</v>
      </c>
      <c r="J829" s="1"/>
    </row>
    <row r="830" spans="2:10">
      <c r="B830" s="938" t="s">
        <v>579</v>
      </c>
      <c r="C830" s="935">
        <v>2016</v>
      </c>
      <c r="D830" s="935">
        <v>2017</v>
      </c>
      <c r="E830" s="941">
        <v>522</v>
      </c>
      <c r="F830" s="934"/>
      <c r="G830" s="953" t="b">
        <f>IF(ISBLANK(Table2[[#This Row],[MergeCorpID]]=TRUE),"",AND(ISNUMBER(Table2[[#This Row],[MergeCorpID]])=TRUE,ISBLANK(Table2[[#This Row],[MergeName]])=FALSE))</f>
        <v>0</v>
      </c>
      <c r="H830" s="954">
        <f>IF(ISBLANK(Table2[[#This Row],[MergeCorpID]])=TRUE,0,IF(Table2[[#This Row],[SurvivingEdCorp]]=TRUE,1,2))</f>
        <v>2</v>
      </c>
      <c r="J830" s="1"/>
    </row>
    <row r="831" spans="2:10">
      <c r="B831" s="938" t="s">
        <v>473</v>
      </c>
      <c r="C831" s="935">
        <v>2015</v>
      </c>
      <c r="D831" s="935"/>
      <c r="E831" s="941"/>
      <c r="F831" s="934"/>
      <c r="G831" s="955" t="b">
        <f>IF(ISBLANK(Table2[[#This Row],[MergeCorpID]]=TRUE),"",AND(ISNUMBER(Table2[[#This Row],[MergeCorpID]])=TRUE,ISBLANK(Table2[[#This Row],[MergeName]])=FALSE))</f>
        <v>0</v>
      </c>
      <c r="H831" s="956">
        <f>IF(ISBLANK(Table2[[#This Row],[MergeCorpID]])=TRUE,0,IF(Table2[[#This Row],[SurvivingEdCorp]]=TRUE,1,2))</f>
        <v>0</v>
      </c>
      <c r="J831" s="1"/>
    </row>
    <row r="832" spans="2:10">
      <c r="B832" s="937" t="s">
        <v>383</v>
      </c>
      <c r="C832" s="940">
        <v>2008</v>
      </c>
      <c r="D832" s="939">
        <v>2016</v>
      </c>
      <c r="E832" s="939">
        <v>509</v>
      </c>
      <c r="F832" s="936"/>
      <c r="G832" s="953" t="b">
        <f>IF(ISBLANK(Table2[[#This Row],[MergeCorpID]]=TRUE),"",AND(ISNUMBER(Table2[[#This Row],[MergeCorpID]])=TRUE,ISBLANK(Table2[[#This Row],[MergeName]])=FALSE))</f>
        <v>0</v>
      </c>
      <c r="H832" s="954">
        <f>IF(ISBLANK(Table2[[#This Row],[MergeCorpID]])=TRUE,0,IF(Table2[[#This Row],[SurvivingEdCorp]]=TRUE,1,2))</f>
        <v>2</v>
      </c>
      <c r="J832" s="1"/>
    </row>
    <row r="833" spans="2:10">
      <c r="B833" s="957" t="s">
        <v>2058</v>
      </c>
      <c r="C833" s="958">
        <v>2025</v>
      </c>
      <c r="D833" s="959"/>
      <c r="E833" s="959">
        <v>534</v>
      </c>
      <c r="F833" s="960"/>
      <c r="G833" s="961" t="b">
        <f>IF(ISBLANK(Table2[[#This Row],[MergeCorpID]]=TRUE),"",AND(ISNUMBER(Table2[[#This Row],[MergeCorpID]])=TRUE,ISBLANK(Table2[[#This Row],[MergeName]])=FALSE))</f>
        <v>0</v>
      </c>
      <c r="H833" s="962">
        <f>IF(ISBLANK(Table2[[#This Row],[MergeCorpID]])=TRUE,0,IF(Table2[[#This Row],[SurvivingEdCorp]]=TRUE,1,2))</f>
        <v>2</v>
      </c>
      <c r="J833" s="1"/>
    </row>
    <row r="834" spans="2:10">
      <c r="B834" s="938" t="s">
        <v>2052</v>
      </c>
      <c r="C834" s="935">
        <v>2024</v>
      </c>
      <c r="D834" s="935"/>
      <c r="E834" s="941">
        <v>534</v>
      </c>
      <c r="F834" s="960" t="s">
        <v>2059</v>
      </c>
      <c r="G834" s="953" t="b">
        <f>IF(ISBLANK(Table2[[#This Row],[MergeCorpID]]=TRUE),"",AND(ISNUMBER(Table2[[#This Row],[MergeCorpID]])=TRUE,ISBLANK(Table2[[#This Row],[MergeName]])=FALSE))</f>
        <v>1</v>
      </c>
      <c r="H834" s="954">
        <f>IF(ISBLANK(Table2[[#This Row],[MergeCorpID]])=TRUE,0,IF(Table2[[#This Row],[SurvivingEdCorp]]=TRUE,1,2))</f>
        <v>1</v>
      </c>
      <c r="J834" s="1"/>
    </row>
    <row r="835" spans="2:10">
      <c r="B835" s="938" t="s">
        <v>441</v>
      </c>
      <c r="C835" s="935">
        <v>2012</v>
      </c>
      <c r="D835" s="935">
        <v>2015</v>
      </c>
      <c r="E835" s="941">
        <v>504</v>
      </c>
      <c r="F835" s="934"/>
      <c r="G835" s="955" t="b">
        <f>IF(ISBLANK(Table2[[#This Row],[MergeCorpID]]=TRUE),"",AND(ISNUMBER(Table2[[#This Row],[MergeCorpID]])=TRUE,ISBLANK(Table2[[#This Row],[MergeName]])=FALSE))</f>
        <v>0</v>
      </c>
      <c r="H835" s="956">
        <f>IF(ISBLANK(Table2[[#This Row],[MergeCorpID]])=TRUE,0,IF(Table2[[#This Row],[SurvivingEdCorp]]=TRUE,1,2))</f>
        <v>2</v>
      </c>
      <c r="J835" s="1"/>
    </row>
    <row r="836" spans="2:10">
      <c r="B836" s="937" t="s">
        <v>453</v>
      </c>
      <c r="C836" s="940">
        <v>2014</v>
      </c>
      <c r="D836" s="939">
        <v>2015</v>
      </c>
      <c r="E836" s="939">
        <v>506</v>
      </c>
      <c r="F836" s="936"/>
      <c r="G836" s="953" t="b">
        <f>IF(ISBLANK(Table2[[#This Row],[MergeCorpID]]=TRUE),"",AND(ISNUMBER(Table2[[#This Row],[MergeCorpID]])=TRUE,ISBLANK(Table2[[#This Row],[MergeName]])=FALSE))</f>
        <v>0</v>
      </c>
      <c r="H836" s="954">
        <f>IF(ISBLANK(Table2[[#This Row],[MergeCorpID]])=TRUE,0,IF(Table2[[#This Row],[SurvivingEdCorp]]=TRUE,1,2))</f>
        <v>2</v>
      </c>
      <c r="J836" s="1"/>
    </row>
    <row r="837" spans="2:10">
      <c r="B837" s="937" t="s">
        <v>2049</v>
      </c>
      <c r="C837" s="940">
        <v>2023</v>
      </c>
      <c r="D837" s="939"/>
      <c r="E837" s="939"/>
      <c r="F837" s="936"/>
      <c r="G837" s="955" t="b">
        <f>IF(ISBLANK(Table2[[#This Row],[MergeCorpID]]=TRUE),"",AND(ISNUMBER(Table2[[#This Row],[MergeCorpID]])=TRUE,ISBLANK(Table2[[#This Row],[MergeName]])=FALSE))</f>
        <v>0</v>
      </c>
      <c r="H837" s="956">
        <f>IF(ISBLANK(Table2[[#This Row],[MergeCorpID]])=TRUE,0,IF(Table2[[#This Row],[SurvivingEdCorp]]=TRUE,1,2))</f>
        <v>0</v>
      </c>
      <c r="J837" s="1"/>
    </row>
    <row r="838" spans="2:10">
      <c r="B838" s="938" t="s">
        <v>647</v>
      </c>
      <c r="C838" s="935">
        <v>2020</v>
      </c>
      <c r="D838" s="935">
        <v>2021</v>
      </c>
      <c r="E838" s="941">
        <v>514</v>
      </c>
      <c r="F838" s="934"/>
      <c r="G838" s="953" t="b">
        <f>IF(ISBLANK(Table2[[#This Row],[MergeCorpID]]=TRUE),"",AND(ISNUMBER(Table2[[#This Row],[MergeCorpID]])=TRUE,ISBLANK(Table2[[#This Row],[MergeName]])=FALSE))</f>
        <v>0</v>
      </c>
      <c r="H838" s="954">
        <f>IF(ISBLANK(Table2[[#This Row],[MergeCorpID]])=TRUE,0,IF(Table2[[#This Row],[SurvivingEdCorp]]=TRUE,1,2))</f>
        <v>2</v>
      </c>
      <c r="J838" s="1"/>
    </row>
    <row r="839" spans="2:10">
      <c r="B839" s="937" t="s">
        <v>542</v>
      </c>
      <c r="C839" s="940">
        <v>2017</v>
      </c>
      <c r="D839" s="939">
        <v>2018</v>
      </c>
      <c r="E839" s="939">
        <v>514</v>
      </c>
      <c r="F839" s="936"/>
      <c r="G839" s="955" t="b">
        <f>IF(ISBLANK(Table2[[#This Row],[MergeCorpID]]=TRUE),"",AND(ISNUMBER(Table2[[#This Row],[MergeCorpID]])=TRUE,ISBLANK(Table2[[#This Row],[MergeName]])=FALSE))</f>
        <v>0</v>
      </c>
      <c r="H839" s="956">
        <f>IF(ISBLANK(Table2[[#This Row],[MergeCorpID]])=TRUE,0,IF(Table2[[#This Row],[SurvivingEdCorp]]=TRUE,1,2))</f>
        <v>2</v>
      </c>
      <c r="J839" s="1"/>
    </row>
    <row r="840" spans="2:10">
      <c r="B840" s="938" t="s">
        <v>648</v>
      </c>
      <c r="C840" s="935">
        <v>2020</v>
      </c>
      <c r="D840" s="935">
        <v>2021</v>
      </c>
      <c r="E840" s="941">
        <v>514</v>
      </c>
      <c r="F840" s="934"/>
      <c r="G840" s="953" t="b">
        <f>IF(ISBLANK(Table2[[#This Row],[MergeCorpID]]=TRUE),"",AND(ISNUMBER(Table2[[#This Row],[MergeCorpID]])=TRUE,ISBLANK(Table2[[#This Row],[MergeName]])=FALSE))</f>
        <v>0</v>
      </c>
      <c r="H840" s="954">
        <f>IF(ISBLANK(Table2[[#This Row],[MergeCorpID]])=TRUE,0,IF(Table2[[#This Row],[SurvivingEdCorp]]=TRUE,1,2))</f>
        <v>2</v>
      </c>
      <c r="J840" s="1"/>
    </row>
    <row r="841" spans="2:10">
      <c r="B841" s="937" t="s">
        <v>642</v>
      </c>
      <c r="C841" s="940">
        <v>2017</v>
      </c>
      <c r="D841" s="939">
        <v>2018</v>
      </c>
      <c r="E841" s="939">
        <v>514</v>
      </c>
      <c r="F841" s="936" t="s">
        <v>580</v>
      </c>
      <c r="G841" s="955" t="b">
        <f>IF(ISBLANK(Table2[[#This Row],[MergeCorpID]]=TRUE),"",AND(ISNUMBER(Table2[[#This Row],[MergeCorpID]])=TRUE,ISBLANK(Table2[[#This Row],[MergeName]])=FALSE))</f>
        <v>1</v>
      </c>
      <c r="H841" s="956">
        <f>IF(ISBLANK(Table2[[#This Row],[MergeCorpID]])=TRUE,0,IF(Table2[[#This Row],[SurvivingEdCorp]]=TRUE,1,2))</f>
        <v>1</v>
      </c>
      <c r="J841" s="1"/>
    </row>
    <row r="842" spans="2:10">
      <c r="B842" s="938" t="s">
        <v>384</v>
      </c>
      <c r="C842" s="935">
        <v>2003</v>
      </c>
      <c r="D842" s="935">
        <v>2016</v>
      </c>
      <c r="E842" s="941">
        <v>517</v>
      </c>
      <c r="F842" s="934" t="s">
        <v>606</v>
      </c>
      <c r="G842" s="953" t="b">
        <f>IF(ISBLANK(Table2[[#This Row],[MergeCorpID]]=TRUE),"",AND(ISNUMBER(Table2[[#This Row],[MergeCorpID]])=TRUE,ISBLANK(Table2[[#This Row],[MergeName]])=FALSE))</f>
        <v>1</v>
      </c>
      <c r="H842" s="954">
        <f>IF(ISBLANK(Table2[[#This Row],[MergeCorpID]])=TRUE,0,IF(Table2[[#This Row],[SurvivingEdCorp]]=TRUE,1,2))</f>
        <v>1</v>
      </c>
      <c r="J842" s="1"/>
    </row>
    <row r="843" spans="2:10">
      <c r="B843" s="937" t="s">
        <v>474</v>
      </c>
      <c r="C843" s="940">
        <v>2015</v>
      </c>
      <c r="D843" s="939">
        <v>2016</v>
      </c>
      <c r="E843" s="939">
        <v>517</v>
      </c>
      <c r="F843" s="936"/>
      <c r="G843" s="955" t="b">
        <f>IF(ISBLANK(Table2[[#This Row],[MergeCorpID]]=TRUE),"",AND(ISNUMBER(Table2[[#This Row],[MergeCorpID]])=TRUE,ISBLANK(Table2[[#This Row],[MergeName]])=FALSE))</f>
        <v>0</v>
      </c>
      <c r="H843" s="956">
        <f>IF(ISBLANK(Table2[[#This Row],[MergeCorpID]])=TRUE,0,IF(Table2[[#This Row],[SurvivingEdCorp]]=TRUE,1,2))</f>
        <v>2</v>
      </c>
      <c r="J843" s="1"/>
    </row>
    <row r="844" spans="2:10">
      <c r="B844" s="938" t="s">
        <v>385</v>
      </c>
      <c r="C844" s="935">
        <v>2004</v>
      </c>
      <c r="D844" s="935">
        <v>2017</v>
      </c>
      <c r="E844" s="941">
        <v>510</v>
      </c>
      <c r="F844" s="934" t="s">
        <v>581</v>
      </c>
      <c r="G844" s="953" t="b">
        <f>IF(ISBLANK(Table2[[#This Row],[MergeCorpID]]=TRUE),"",AND(ISNUMBER(Table2[[#This Row],[MergeCorpID]])=TRUE,ISBLANK(Table2[[#This Row],[MergeName]])=FALSE))</f>
        <v>1</v>
      </c>
      <c r="H844" s="954">
        <f>IF(ISBLANK(Table2[[#This Row],[MergeCorpID]])=TRUE,0,IF(Table2[[#This Row],[SurvivingEdCorp]]=TRUE,1,2))</f>
        <v>1</v>
      </c>
      <c r="J844" s="1"/>
    </row>
    <row r="845" spans="2:10">
      <c r="B845" s="937" t="s">
        <v>481</v>
      </c>
      <c r="C845" s="940">
        <v>2016</v>
      </c>
      <c r="D845" s="939">
        <v>2017</v>
      </c>
      <c r="E845" s="939">
        <v>510</v>
      </c>
      <c r="F845" s="936"/>
      <c r="G845" s="955" t="b">
        <f>IF(ISBLANK(Table2[[#This Row],[MergeCorpID]]=TRUE),"",AND(ISNUMBER(Table2[[#This Row],[MergeCorpID]])=TRUE,ISBLANK(Table2[[#This Row],[MergeName]])=FALSE))</f>
        <v>0</v>
      </c>
      <c r="H845" s="956">
        <f>IF(ISBLANK(Table2[[#This Row],[MergeCorpID]])=TRUE,0,IF(Table2[[#This Row],[SurvivingEdCorp]]=TRUE,1,2))</f>
        <v>2</v>
      </c>
      <c r="J845" s="1"/>
    </row>
    <row r="846" spans="2:10">
      <c r="B846" s="938" t="s">
        <v>538</v>
      </c>
      <c r="C846" s="935">
        <v>2017</v>
      </c>
      <c r="D846" s="935">
        <v>2018</v>
      </c>
      <c r="E846" s="941">
        <v>510</v>
      </c>
      <c r="F846" s="934"/>
      <c r="G846" s="953" t="b">
        <f>IF(ISBLANK(Table2[[#This Row],[MergeCorpID]]=TRUE),"",AND(ISNUMBER(Table2[[#This Row],[MergeCorpID]])=TRUE,ISBLANK(Table2[[#This Row],[MergeName]])=FALSE))</f>
        <v>0</v>
      </c>
      <c r="H846" s="954">
        <f>IF(ISBLANK(Table2[[#This Row],[MergeCorpID]])=TRUE,0,IF(Table2[[#This Row],[SurvivingEdCorp]]=TRUE,1,2))</f>
        <v>2</v>
      </c>
      <c r="J846" s="1"/>
    </row>
    <row r="847" spans="2:10">
      <c r="B847" s="937" t="s">
        <v>582</v>
      </c>
      <c r="C847" s="940">
        <v>2018</v>
      </c>
      <c r="D847" s="939">
        <v>2019</v>
      </c>
      <c r="E847" s="939">
        <v>510</v>
      </c>
      <c r="F847" s="936"/>
      <c r="G847" s="955" t="b">
        <f>IF(ISBLANK(Table2[[#This Row],[MergeCorpID]]=TRUE),"",AND(ISNUMBER(Table2[[#This Row],[MergeCorpID]])=TRUE,ISBLANK(Table2[[#This Row],[MergeName]])=FALSE))</f>
        <v>0</v>
      </c>
      <c r="H847" s="956">
        <f>IF(ISBLANK(Table2[[#This Row],[MergeCorpID]])=TRUE,0,IF(Table2[[#This Row],[SurvivingEdCorp]]=TRUE,1,2))</f>
        <v>2</v>
      </c>
      <c r="J847" s="1"/>
    </row>
    <row r="848" spans="2:10">
      <c r="B848" s="938" t="s">
        <v>607</v>
      </c>
      <c r="C848" s="935">
        <v>2019</v>
      </c>
      <c r="D848" s="935">
        <v>2020</v>
      </c>
      <c r="E848" s="941">
        <v>510</v>
      </c>
      <c r="F848" s="934"/>
      <c r="G848" s="953" t="b">
        <f>IF(ISBLANK(Table2[[#This Row],[MergeCorpID]]=TRUE),"",AND(ISNUMBER(Table2[[#This Row],[MergeCorpID]])=TRUE,ISBLANK(Table2[[#This Row],[MergeName]])=FALSE))</f>
        <v>0</v>
      </c>
      <c r="H848" s="954">
        <f>IF(ISBLANK(Table2[[#This Row],[MergeCorpID]])=TRUE,0,IF(Table2[[#This Row],[SurvivingEdCorp]]=TRUE,1,2))</f>
        <v>2</v>
      </c>
      <c r="J848" s="1"/>
    </row>
    <row r="849" spans="2:10">
      <c r="B849" s="937" t="s">
        <v>386</v>
      </c>
      <c r="C849" s="940">
        <v>2001</v>
      </c>
      <c r="D849" s="939">
        <v>2018</v>
      </c>
      <c r="E849" s="939">
        <v>520</v>
      </c>
      <c r="F849" s="936" t="s">
        <v>583</v>
      </c>
      <c r="G849" s="955" t="b">
        <f>IF(ISBLANK(Table2[[#This Row],[MergeCorpID]]=TRUE),"",AND(ISNUMBER(Table2[[#This Row],[MergeCorpID]])=TRUE,ISBLANK(Table2[[#This Row],[MergeName]])=FALSE))</f>
        <v>1</v>
      </c>
      <c r="H849" s="956">
        <f>IF(ISBLANK(Table2[[#This Row],[MergeCorpID]])=TRUE,0,IF(Table2[[#This Row],[SurvivingEdCorp]]=TRUE,1,2))</f>
        <v>1</v>
      </c>
      <c r="J849" s="1"/>
    </row>
    <row r="850" spans="2:10">
      <c r="B850" s="938" t="s">
        <v>485</v>
      </c>
      <c r="C850" s="935">
        <v>2016</v>
      </c>
      <c r="D850" s="935">
        <v>2017</v>
      </c>
      <c r="E850" s="941">
        <v>512</v>
      </c>
      <c r="F850" s="934"/>
      <c r="G850" s="953" t="b">
        <f>IF(ISBLANK(Table2[[#This Row],[MergeCorpID]]=TRUE),"",AND(ISNUMBER(Table2[[#This Row],[MergeCorpID]])=TRUE,ISBLANK(Table2[[#This Row],[MergeName]])=FALSE))</f>
        <v>0</v>
      </c>
      <c r="H850" s="954">
        <f>IF(ISBLANK(Table2[[#This Row],[MergeCorpID]])=TRUE,0,IF(Table2[[#This Row],[SurvivingEdCorp]]=TRUE,1,2))</f>
        <v>2</v>
      </c>
      <c r="J850" s="1"/>
    </row>
    <row r="851" spans="2:10">
      <c r="B851" s="937" t="s">
        <v>387</v>
      </c>
      <c r="C851" s="940">
        <v>2010</v>
      </c>
      <c r="D851" s="939"/>
      <c r="E851" s="939"/>
      <c r="F851" s="936"/>
      <c r="G851" s="955" t="b">
        <f>IF(ISBLANK(Table2[[#This Row],[MergeCorpID]]=TRUE),"",AND(ISNUMBER(Table2[[#This Row],[MergeCorpID]])=TRUE,ISBLANK(Table2[[#This Row],[MergeName]])=FALSE))</f>
        <v>0</v>
      </c>
      <c r="H851" s="956">
        <f>IF(ISBLANK(Table2[[#This Row],[MergeCorpID]])=TRUE,0,IF(Table2[[#This Row],[SurvivingEdCorp]]=TRUE,1,2))</f>
        <v>0</v>
      </c>
      <c r="J851" s="1"/>
    </row>
    <row r="852" spans="2:10">
      <c r="B852" s="938" t="s">
        <v>393</v>
      </c>
      <c r="C852" s="935">
        <v>2010</v>
      </c>
      <c r="D852" s="935">
        <v>2016</v>
      </c>
      <c r="E852" s="941">
        <v>509</v>
      </c>
      <c r="F852" s="934"/>
      <c r="G852" s="953" t="b">
        <f>IF(ISBLANK(Table2[[#This Row],[MergeCorpID]]=TRUE),"",AND(ISNUMBER(Table2[[#This Row],[MergeCorpID]])=TRUE,ISBLANK(Table2[[#This Row],[MergeName]])=FALSE))</f>
        <v>0</v>
      </c>
      <c r="H852" s="954">
        <f>IF(ISBLANK(Table2[[#This Row],[MergeCorpID]])=TRUE,0,IF(Table2[[#This Row],[SurvivingEdCorp]]=TRUE,1,2))</f>
        <v>2</v>
      </c>
      <c r="J852" s="1"/>
    </row>
    <row r="853" spans="2:10">
      <c r="B853" s="937" t="s">
        <v>539</v>
      </c>
      <c r="C853" s="940">
        <v>2017</v>
      </c>
      <c r="D853" s="939"/>
      <c r="E853" s="939"/>
      <c r="F853" s="936"/>
      <c r="G853" s="955" t="b">
        <f>IF(ISBLANK(Table2[[#This Row],[MergeCorpID]]=TRUE),"",AND(ISNUMBER(Table2[[#This Row],[MergeCorpID]])=TRUE,ISBLANK(Table2[[#This Row],[MergeName]])=FALSE))</f>
        <v>0</v>
      </c>
      <c r="H853" s="956">
        <f>IF(ISBLANK(Table2[[#This Row],[MergeCorpID]])=TRUE,0,IF(Table2[[#This Row],[SurvivingEdCorp]]=TRUE,1,2))</f>
        <v>0</v>
      </c>
      <c r="J853" s="1"/>
    </row>
    <row r="854" spans="2:10">
      <c r="B854" s="938" t="s">
        <v>388</v>
      </c>
      <c r="C854" s="935">
        <v>2003</v>
      </c>
      <c r="D854" s="935"/>
      <c r="E854" s="941"/>
      <c r="F854" s="934"/>
      <c r="G854" s="953" t="b">
        <f>IF(ISBLANK(Table2[[#This Row],[MergeCorpID]]=TRUE),"",AND(ISNUMBER(Table2[[#This Row],[MergeCorpID]])=TRUE,ISBLANK(Table2[[#This Row],[MergeName]])=FALSE))</f>
        <v>0</v>
      </c>
      <c r="H854" s="954">
        <f>IF(ISBLANK(Table2[[#This Row],[MergeCorpID]])=TRUE,0,IF(Table2[[#This Row],[SurvivingEdCorp]]=TRUE,1,2))</f>
        <v>0</v>
      </c>
      <c r="J854" s="1"/>
    </row>
    <row r="855" spans="2:10">
      <c r="B855" s="937" t="s">
        <v>546</v>
      </c>
      <c r="C855" s="940">
        <v>2016</v>
      </c>
      <c r="D855" s="939">
        <v>2017</v>
      </c>
      <c r="E855" s="939">
        <v>523</v>
      </c>
      <c r="F855" s="936"/>
      <c r="G855" s="955" t="b">
        <f>IF(ISBLANK(Table2[[#This Row],[MergeCorpID]]=TRUE),"",AND(ISNUMBER(Table2[[#This Row],[MergeCorpID]])=TRUE,ISBLANK(Table2[[#This Row],[MergeName]])=FALSE))</f>
        <v>0</v>
      </c>
      <c r="H855" s="956">
        <f>IF(ISBLANK(Table2[[#This Row],[MergeCorpID]])=TRUE,0,IF(Table2[[#This Row],[SurvivingEdCorp]]=TRUE,1,2))</f>
        <v>2</v>
      </c>
      <c r="J855" s="1"/>
    </row>
    <row r="856" spans="2:10">
      <c r="B856" s="938" t="s">
        <v>1354</v>
      </c>
      <c r="C856" s="935">
        <v>2015</v>
      </c>
      <c r="D856" s="935">
        <v>2022</v>
      </c>
      <c r="E856" s="941">
        <v>523</v>
      </c>
      <c r="F856" s="934"/>
      <c r="G856" s="953" t="b">
        <f>IF(ISBLANK(Table2[[#This Row],[MergeCorpID]]=TRUE),"",AND(ISNUMBER(Table2[[#This Row],[MergeCorpID]])=TRUE,ISBLANK(Table2[[#This Row],[MergeName]])=FALSE))</f>
        <v>0</v>
      </c>
      <c r="H856" s="954">
        <f>IF(ISBLANK(Table2[[#This Row],[MergeCorpID]])=TRUE,0,IF(Table2[[#This Row],[SurvivingEdCorp]]=TRUE,1,2))</f>
        <v>2</v>
      </c>
      <c r="J856" s="1"/>
    </row>
    <row r="857" spans="2:10">
      <c r="B857" s="937" t="s">
        <v>545</v>
      </c>
      <c r="C857" s="940">
        <v>2009</v>
      </c>
      <c r="D857" s="939">
        <v>2017</v>
      </c>
      <c r="E857" s="939">
        <v>523</v>
      </c>
      <c r="F857" s="936" t="s">
        <v>584</v>
      </c>
      <c r="G857" s="955" t="b">
        <f>IF(ISBLANK(Table2[[#This Row],[MergeCorpID]]=TRUE),"",AND(ISNUMBER(Table2[[#This Row],[MergeCorpID]])=TRUE,ISBLANK(Table2[[#This Row],[MergeName]])=FALSE))</f>
        <v>1</v>
      </c>
      <c r="H857" s="956">
        <f>IF(ISBLANK(Table2[[#This Row],[MergeCorpID]])=TRUE,0,IF(Table2[[#This Row],[SurvivingEdCorp]]=TRUE,1,2))</f>
        <v>1</v>
      </c>
      <c r="J857" s="1"/>
    </row>
    <row r="858" spans="2:10">
      <c r="B858" s="938" t="s">
        <v>608</v>
      </c>
      <c r="C858" s="935">
        <v>2019</v>
      </c>
      <c r="D858" s="935">
        <v>2020</v>
      </c>
      <c r="E858" s="941">
        <v>523</v>
      </c>
      <c r="F858" s="934"/>
      <c r="G858" s="953" t="b">
        <f>IF(ISBLANK(Table2[[#This Row],[MergeCorpID]]=TRUE),"",AND(ISNUMBER(Table2[[#This Row],[MergeCorpID]])=TRUE,ISBLANK(Table2[[#This Row],[MergeName]])=FALSE))</f>
        <v>0</v>
      </c>
      <c r="H858" s="954">
        <f>IF(ISBLANK(Table2[[#This Row],[MergeCorpID]])=TRUE,0,IF(Table2[[#This Row],[SurvivingEdCorp]]=TRUE,1,2))</f>
        <v>2</v>
      </c>
      <c r="J858" s="1"/>
    </row>
    <row r="859" spans="2:10">
      <c r="B859" s="937" t="s">
        <v>434</v>
      </c>
      <c r="C859" s="940">
        <v>2011</v>
      </c>
      <c r="D859" s="939"/>
      <c r="E859" s="939"/>
      <c r="F859" s="936"/>
      <c r="G859" s="955" t="b">
        <f>IF(ISBLANK(Table2[[#This Row],[MergeCorpID]]=TRUE),"",AND(ISNUMBER(Table2[[#This Row],[MergeCorpID]])=TRUE,ISBLANK(Table2[[#This Row],[MergeName]])=FALSE))</f>
        <v>0</v>
      </c>
      <c r="H859" s="956">
        <f>IF(ISBLANK(Table2[[#This Row],[MergeCorpID]])=TRUE,0,IF(Table2[[#This Row],[SurvivingEdCorp]]=TRUE,1,2))</f>
        <v>0</v>
      </c>
      <c r="J859" s="1"/>
    </row>
    <row r="860" spans="2:10">
      <c r="B860" s="938" t="s">
        <v>486</v>
      </c>
      <c r="C860" s="935">
        <v>2016</v>
      </c>
      <c r="D860" s="935">
        <v>2017</v>
      </c>
      <c r="E860" s="941">
        <v>512</v>
      </c>
      <c r="F860" s="934"/>
      <c r="G860" s="953" t="b">
        <f>IF(ISBLANK(Table2[[#This Row],[MergeCorpID]]=TRUE),"",AND(ISNUMBER(Table2[[#This Row],[MergeCorpID]])=TRUE,ISBLANK(Table2[[#This Row],[MergeName]])=FALSE))</f>
        <v>0</v>
      </c>
      <c r="H860" s="954">
        <f>IF(ISBLANK(Table2[[#This Row],[MergeCorpID]])=TRUE,0,IF(Table2[[#This Row],[SurvivingEdCorp]]=TRUE,1,2))</f>
        <v>2</v>
      </c>
      <c r="J860" s="1"/>
    </row>
    <row r="861" spans="2:10">
      <c r="B861" s="937" t="s">
        <v>389</v>
      </c>
      <c r="C861" s="940">
        <v>2009</v>
      </c>
      <c r="D861" s="939">
        <v>2016</v>
      </c>
      <c r="E861" s="939">
        <v>509</v>
      </c>
      <c r="F861" s="936"/>
      <c r="G861" s="955" t="b">
        <f>IF(ISBLANK(Table2[[#This Row],[MergeCorpID]]=TRUE),"",AND(ISNUMBER(Table2[[#This Row],[MergeCorpID]])=TRUE,ISBLANK(Table2[[#This Row],[MergeName]])=FALSE))</f>
        <v>0</v>
      </c>
      <c r="H861" s="956">
        <f>IF(ISBLANK(Table2[[#This Row],[MergeCorpID]])=TRUE,0,IF(Table2[[#This Row],[SurvivingEdCorp]]=TRUE,1,2))</f>
        <v>2</v>
      </c>
      <c r="J861" s="1"/>
    </row>
    <row r="862" spans="2:10">
      <c r="B862" s="938" t="s">
        <v>1343</v>
      </c>
      <c r="C862" s="935">
        <v>2022</v>
      </c>
      <c r="D862" s="935"/>
      <c r="E862" s="941"/>
      <c r="F862" s="934"/>
      <c r="G862" s="953" t="b">
        <f>IF(ISBLANK(Table2[[#This Row],[MergeCorpID]]=TRUE),"",AND(ISNUMBER(Table2[[#This Row],[MergeCorpID]])=TRUE,ISBLANK(Table2[[#This Row],[MergeName]])=FALSE))</f>
        <v>0</v>
      </c>
      <c r="H862" s="954">
        <f>IF(ISBLANK(Table2[[#This Row],[MergeCorpID]])=TRUE,0,IF(Table2[[#This Row],[SurvivingEdCorp]]=TRUE,1,2))</f>
        <v>0</v>
      </c>
      <c r="J862" s="1"/>
    </row>
    <row r="863" spans="2:10">
      <c r="B863" s="937" t="s">
        <v>657</v>
      </c>
      <c r="C863" s="940">
        <v>2020</v>
      </c>
      <c r="D863" s="939"/>
      <c r="E863" s="939"/>
      <c r="F863" s="936"/>
      <c r="G863" s="955" t="b">
        <f>IF(ISBLANK(Table2[[#This Row],[MergeCorpID]]=TRUE),"",AND(ISNUMBER(Table2[[#This Row],[MergeCorpID]])=TRUE,ISBLANK(Table2[[#This Row],[MergeName]])=FALSE))</f>
        <v>0</v>
      </c>
      <c r="H863" s="956">
        <f>IF(ISBLANK(Table2[[#This Row],[MergeCorpID]])=TRUE,0,IF(Table2[[#This Row],[SurvivingEdCorp]]=TRUE,1,2))</f>
        <v>0</v>
      </c>
      <c r="J863" s="1"/>
    </row>
    <row r="864" spans="2:10">
      <c r="B864" s="938" t="s">
        <v>390</v>
      </c>
      <c r="C864" s="935">
        <v>2003</v>
      </c>
      <c r="D864" s="935"/>
      <c r="E864" s="941"/>
      <c r="F864" s="934"/>
      <c r="G864" s="953" t="b">
        <f>IF(ISBLANK(Table2[[#This Row],[MergeCorpID]]=TRUE),"",AND(ISNUMBER(Table2[[#This Row],[MergeCorpID]])=TRUE,ISBLANK(Table2[[#This Row],[MergeName]])=FALSE))</f>
        <v>0</v>
      </c>
      <c r="H864" s="954">
        <f>IF(ISBLANK(Table2[[#This Row],[MergeCorpID]])=TRUE,0,IF(Table2[[#This Row],[SurvivingEdCorp]]=TRUE,1,2))</f>
        <v>0</v>
      </c>
      <c r="J864" s="1"/>
    </row>
    <row r="865" spans="2:10">
      <c r="B865" s="937" t="s">
        <v>487</v>
      </c>
      <c r="C865" s="940">
        <v>2016</v>
      </c>
      <c r="D865" s="939">
        <v>2017</v>
      </c>
      <c r="E865" s="939">
        <v>512</v>
      </c>
      <c r="F865" s="936"/>
      <c r="G865" s="955" t="b">
        <f>IF(ISBLANK(Table2[[#This Row],[MergeCorpID]]=TRUE),"",AND(ISNUMBER(Table2[[#This Row],[MergeCorpID]])=TRUE,ISBLANK(Table2[[#This Row],[MergeName]])=FALSE))</f>
        <v>0</v>
      </c>
      <c r="H865" s="956">
        <f>IF(ISBLANK(Table2[[#This Row],[MergeCorpID]])=TRUE,0,IF(Table2[[#This Row],[SurvivingEdCorp]]=TRUE,1,2))</f>
        <v>2</v>
      </c>
      <c r="J865" s="1"/>
    </row>
    <row r="866" spans="2:10">
      <c r="B866" s="938" t="s">
        <v>445</v>
      </c>
      <c r="C866" s="935">
        <v>2013</v>
      </c>
      <c r="D866" s="935">
        <v>2017</v>
      </c>
      <c r="E866" s="941">
        <v>512</v>
      </c>
      <c r="F866" s="934" t="s">
        <v>585</v>
      </c>
      <c r="G866" s="953" t="b">
        <f>IF(ISBLANK(Table2[[#This Row],[MergeCorpID]]=TRUE),"",AND(ISNUMBER(Table2[[#This Row],[MergeCorpID]])=TRUE,ISBLANK(Table2[[#This Row],[MergeName]])=FALSE))</f>
        <v>1</v>
      </c>
      <c r="H866" s="954">
        <f>IF(ISBLANK(Table2[[#This Row],[MergeCorpID]])=TRUE,0,IF(Table2[[#This Row],[SurvivingEdCorp]]=TRUE,1,2))</f>
        <v>1</v>
      </c>
      <c r="J866" s="1"/>
    </row>
    <row r="867" spans="2:10">
      <c r="B867" s="937" t="s">
        <v>649</v>
      </c>
      <c r="C867" s="940">
        <v>2020</v>
      </c>
      <c r="D867" s="939">
        <v>2020</v>
      </c>
      <c r="E867" s="939">
        <v>531</v>
      </c>
      <c r="F867" s="936" t="s">
        <v>658</v>
      </c>
      <c r="G867" s="955" t="b">
        <f>IF(ISBLANK(Table2[[#This Row],[MergeCorpID]]=TRUE),"",AND(ISNUMBER(Table2[[#This Row],[MergeCorpID]])=TRUE,ISBLANK(Table2[[#This Row],[MergeName]])=FALSE))</f>
        <v>1</v>
      </c>
      <c r="H867" s="956">
        <f>IF(ISBLANK(Table2[[#This Row],[MergeCorpID]])=TRUE,0,IF(Table2[[#This Row],[SurvivingEdCorp]]=TRUE,1,2))</f>
        <v>1</v>
      </c>
      <c r="J867" s="1"/>
    </row>
    <row r="868" spans="2:10">
      <c r="B868" s="938" t="s">
        <v>656</v>
      </c>
      <c r="C868" s="935">
        <v>2019</v>
      </c>
      <c r="D868" s="935">
        <v>2020</v>
      </c>
      <c r="E868" s="941">
        <v>531</v>
      </c>
      <c r="F868" s="934"/>
      <c r="G868" s="953" t="b">
        <f>IF(ISBLANK(Table2[[#This Row],[MergeCorpID]]=TRUE),"",AND(ISNUMBER(Table2[[#This Row],[MergeCorpID]])=TRUE,ISBLANK(Table2[[#This Row],[MergeName]])=FALSE))</f>
        <v>0</v>
      </c>
      <c r="H868" s="954">
        <f>IF(ISBLANK(Table2[[#This Row],[MergeCorpID]])=TRUE,0,IF(Table2[[#This Row],[SurvivingEdCorp]]=TRUE,1,2))</f>
        <v>2</v>
      </c>
      <c r="J868" s="1"/>
    </row>
    <row r="869" spans="2:10">
      <c r="B869" s="937" t="s">
        <v>586</v>
      </c>
      <c r="C869" s="940">
        <v>2019</v>
      </c>
      <c r="D869" s="939"/>
      <c r="E869" s="939"/>
      <c r="F869" s="936"/>
      <c r="G869" s="955" t="b">
        <f>IF(ISBLANK(Table2[[#This Row],[MergeCorpID]]=TRUE),"",AND(ISNUMBER(Table2[[#This Row],[MergeCorpID]])=TRUE,ISBLANK(Table2[[#This Row],[MergeName]])=FALSE))</f>
        <v>0</v>
      </c>
      <c r="H869" s="956">
        <f>IF(ISBLANK(Table2[[#This Row],[MergeCorpID]])=TRUE,0,IF(Table2[[#This Row],[SurvivingEdCorp]]=TRUE,1,2))</f>
        <v>0</v>
      </c>
      <c r="J869" s="1"/>
    </row>
    <row r="870" spans="2:10">
      <c r="B870" s="938" t="s">
        <v>462</v>
      </c>
      <c r="C870" s="935">
        <v>2014</v>
      </c>
      <c r="D870" s="935">
        <v>2017</v>
      </c>
      <c r="E870" s="941">
        <v>512</v>
      </c>
      <c r="F870" s="934"/>
      <c r="G870" s="953" t="b">
        <f>IF(ISBLANK(Table2[[#This Row],[MergeCorpID]]=TRUE),"",AND(ISNUMBER(Table2[[#This Row],[MergeCorpID]])=TRUE,ISBLANK(Table2[[#This Row],[MergeName]])=FALSE))</f>
        <v>0</v>
      </c>
      <c r="H870" s="954">
        <f>IF(ISBLANK(Table2[[#This Row],[MergeCorpID]])=TRUE,0,IF(Table2[[#This Row],[SurvivingEdCorp]]=TRUE,1,2))</f>
        <v>2</v>
      </c>
      <c r="J870" s="1"/>
    </row>
    <row r="871" spans="2:10">
      <c r="B871" s="937" t="s">
        <v>446</v>
      </c>
      <c r="C871" s="940">
        <v>2012</v>
      </c>
      <c r="D871" s="939">
        <v>2025</v>
      </c>
      <c r="E871" s="939">
        <v>533</v>
      </c>
      <c r="F871" s="936" t="s">
        <v>2053</v>
      </c>
      <c r="G871" s="955" t="b">
        <f>IF(ISBLANK(Table2[[#This Row],[MergeCorpID]]=TRUE),"",AND(ISNUMBER(Table2[[#This Row],[MergeCorpID]])=TRUE,ISBLANK(Table2[[#This Row],[MergeName]])=FALSE))</f>
        <v>1</v>
      </c>
      <c r="H871" s="956">
        <f>IF(ISBLANK(Table2[[#This Row],[MergeCorpID]])=TRUE,0,IF(Table2[[#This Row],[SurvivingEdCorp]]=TRUE,1,2))</f>
        <v>1</v>
      </c>
      <c r="J871" s="1"/>
    </row>
    <row r="872" spans="2:10">
      <c r="B872" s="937" t="s">
        <v>2054</v>
      </c>
      <c r="C872" s="940">
        <v>2024</v>
      </c>
      <c r="D872" s="939"/>
      <c r="E872" s="939">
        <v>533</v>
      </c>
      <c r="F872" s="936"/>
      <c r="G872" s="955" t="b">
        <f>IF(ISBLANK(Table2[[#This Row],[MergeCorpID]]=TRUE),"",AND(ISNUMBER(Table2[[#This Row],[MergeCorpID]])=TRUE,ISBLANK(Table2[[#This Row],[MergeName]])=FALSE))</f>
        <v>0</v>
      </c>
      <c r="H872" s="956">
        <f>IF(ISBLANK(Table2[[#This Row],[MergeCorpID]])=TRUE,0,IF(Table2[[#This Row],[SurvivingEdCorp]]=TRUE,1,2))</f>
        <v>2</v>
      </c>
      <c r="J872" s="1"/>
    </row>
    <row r="873" spans="2:10">
      <c r="B873" s="938" t="s">
        <v>447</v>
      </c>
      <c r="C873" s="935">
        <v>2012</v>
      </c>
      <c r="D873" s="935"/>
      <c r="E873" s="941"/>
      <c r="F873" s="934"/>
      <c r="G873" s="953" t="b">
        <f>IF(ISBLANK(Table2[[#This Row],[MergeCorpID]]=TRUE),"",AND(ISNUMBER(Table2[[#This Row],[MergeCorpID]])=TRUE,ISBLANK(Table2[[#This Row],[MergeName]])=FALSE))</f>
        <v>0</v>
      </c>
      <c r="H873" s="954">
        <f>IF(ISBLANK(Table2[[#This Row],[MergeCorpID]])=TRUE,0,IF(Table2[[#This Row],[SurvivingEdCorp]]=TRUE,1,2))</f>
        <v>0</v>
      </c>
      <c r="J873" s="1"/>
    </row>
    <row r="874" spans="2:10">
      <c r="B874" s="937" t="s">
        <v>391</v>
      </c>
      <c r="C874" s="940">
        <v>2000</v>
      </c>
      <c r="D874" s="939">
        <v>2015</v>
      </c>
      <c r="E874" s="939">
        <v>504</v>
      </c>
      <c r="F874" s="936" t="s">
        <v>391</v>
      </c>
      <c r="G874" s="955" t="b">
        <f>IF(ISBLANK(Table2[[#This Row],[MergeCorpID]]=TRUE),"",AND(ISNUMBER(Table2[[#This Row],[MergeCorpID]])=TRUE,ISBLANK(Table2[[#This Row],[MergeName]])=FALSE))</f>
        <v>1</v>
      </c>
      <c r="H874" s="956">
        <f>IF(ISBLANK(Table2[[#This Row],[MergeCorpID]])=TRUE,0,IF(Table2[[#This Row],[SurvivingEdCorp]]=TRUE,1,2))</f>
        <v>1</v>
      </c>
      <c r="J874" s="1"/>
    </row>
    <row r="875" spans="2:10">
      <c r="B875" s="938" t="s">
        <v>587</v>
      </c>
      <c r="C875" s="935">
        <v>2017</v>
      </c>
      <c r="D875" s="935"/>
      <c r="E875" s="941"/>
      <c r="F875" s="934"/>
      <c r="G875" s="953" t="b">
        <f>IF(ISBLANK(Table2[[#This Row],[MergeCorpID]]=TRUE),"",AND(ISNUMBER(Table2[[#This Row],[MergeCorpID]])=TRUE,ISBLANK(Table2[[#This Row],[MergeName]])=FALSE))</f>
        <v>0</v>
      </c>
      <c r="H875" s="954">
        <f>IF(ISBLANK(Table2[[#This Row],[MergeCorpID]])=TRUE,0,IF(Table2[[#This Row],[SurvivingEdCorp]]=TRUE,1,2))</f>
        <v>0</v>
      </c>
      <c r="J875" s="1"/>
    </row>
    <row r="876" spans="2:10">
      <c r="B876" s="937" t="s">
        <v>588</v>
      </c>
      <c r="C876" s="940">
        <v>2018</v>
      </c>
      <c r="D876" s="939">
        <v>2019</v>
      </c>
      <c r="E876" s="939">
        <v>512</v>
      </c>
      <c r="F876" s="936"/>
      <c r="G876" s="955" t="b">
        <f>IF(ISBLANK(Table2[[#This Row],[MergeCorpID]]=TRUE),"",AND(ISNUMBER(Table2[[#This Row],[MergeCorpID]])=TRUE,ISBLANK(Table2[[#This Row],[MergeName]])=FALSE))</f>
        <v>0</v>
      </c>
      <c r="H876" s="956">
        <f>IF(ISBLANK(Table2[[#This Row],[MergeCorpID]])=TRUE,0,IF(Table2[[#This Row],[SurvivingEdCorp]]=TRUE,1,2))</f>
        <v>2</v>
      </c>
      <c r="J876" s="1"/>
    </row>
    <row r="877" spans="2:10">
      <c r="B877" s="938" t="s">
        <v>609</v>
      </c>
      <c r="C877" s="935">
        <v>2019</v>
      </c>
      <c r="D877" s="935">
        <v>2020</v>
      </c>
      <c r="E877" s="941">
        <v>520</v>
      </c>
      <c r="F877" s="934"/>
      <c r="G877" s="953" t="b">
        <f>IF(ISBLANK(Table2[[#This Row],[MergeCorpID]]=TRUE),"",AND(ISNUMBER(Table2[[#This Row],[MergeCorpID]])=TRUE,ISBLANK(Table2[[#This Row],[MergeName]])=FALSE))</f>
        <v>0</v>
      </c>
      <c r="H877" s="954">
        <f>IF(ISBLANK(Table2[[#This Row],[MergeCorpID]])=TRUE,0,IF(Table2[[#This Row],[SurvivingEdCorp]]=TRUE,1,2))</f>
        <v>2</v>
      </c>
      <c r="J877" s="1"/>
    </row>
    <row r="878" spans="2:10">
      <c r="B878" s="937" t="s">
        <v>610</v>
      </c>
      <c r="C878" s="940">
        <v>2017</v>
      </c>
      <c r="D878" s="939">
        <v>2018</v>
      </c>
      <c r="E878" s="939">
        <v>520</v>
      </c>
      <c r="F878" s="936"/>
      <c r="G878" s="955" t="b">
        <f>IF(ISBLANK(Table2[[#This Row],[MergeCorpID]]=TRUE),"",AND(ISNUMBER(Table2[[#This Row],[MergeCorpID]])=TRUE,ISBLANK(Table2[[#This Row],[MergeName]])=FALSE))</f>
        <v>0</v>
      </c>
      <c r="H878" s="956">
        <f>IF(ISBLANK(Table2[[#This Row],[MergeCorpID]])=TRUE,0,IF(Table2[[#This Row],[SurvivingEdCorp]]=TRUE,1,2))</f>
        <v>2</v>
      </c>
      <c r="J878" s="1"/>
    </row>
    <row r="879" spans="2:10">
      <c r="B879" s="938" t="s">
        <v>555</v>
      </c>
      <c r="C879" s="935">
        <v>2017</v>
      </c>
      <c r="D879" s="935">
        <v>2018</v>
      </c>
      <c r="E879" s="941">
        <v>520</v>
      </c>
      <c r="F879" s="934"/>
      <c r="G879" s="953" t="b">
        <f>IF(ISBLANK(Table2[[#This Row],[MergeCorpID]]=TRUE),"",AND(ISNUMBER(Table2[[#This Row],[MergeCorpID]])=TRUE,ISBLANK(Table2[[#This Row],[MergeName]])=FALSE))</f>
        <v>0</v>
      </c>
      <c r="H879" s="954">
        <f>IF(ISBLANK(Table2[[#This Row],[MergeCorpID]])=TRUE,0,IF(Table2[[#This Row],[SurvivingEdCorp]]=TRUE,1,2))</f>
        <v>2</v>
      </c>
      <c r="J879" s="1"/>
    </row>
    <row r="880" spans="2:10">
      <c r="B880" s="937" t="s">
        <v>1350</v>
      </c>
      <c r="C880" s="940">
        <v>2022</v>
      </c>
      <c r="D880" s="939"/>
      <c r="E880" s="939"/>
      <c r="F880" s="936"/>
      <c r="G880" s="955" t="b">
        <f>IF(ISBLANK(Table2[[#This Row],[MergeCorpID]]=TRUE),"",AND(ISNUMBER(Table2[[#This Row],[MergeCorpID]])=TRUE,ISBLANK(Table2[[#This Row],[MergeName]])=FALSE))</f>
        <v>0</v>
      </c>
      <c r="H880" s="956">
        <f>IF(ISBLANK(Table2[[#This Row],[MergeCorpID]])=TRUE,0,IF(Table2[[#This Row],[SurvivingEdCorp]]=TRUE,1,2))</f>
        <v>0</v>
      </c>
      <c r="J880" s="1"/>
    </row>
    <row r="881" spans="2:10">
      <c r="B881" s="938" t="s">
        <v>2057</v>
      </c>
      <c r="C881" s="935">
        <v>2017</v>
      </c>
      <c r="D881" s="935">
        <v>2020</v>
      </c>
      <c r="E881" s="941">
        <v>527</v>
      </c>
      <c r="F881" s="934" t="s">
        <v>611</v>
      </c>
      <c r="G881" s="953" t="b">
        <f>IF(ISBLANK(Table2[[#This Row],[MergeCorpID]]=TRUE),"",AND(ISNUMBER(Table2[[#This Row],[MergeCorpID]])=TRUE,ISBLANK(Table2[[#This Row],[MergeName]])=FALSE))</f>
        <v>1</v>
      </c>
      <c r="H881" s="954">
        <f>IF(ISBLANK(Table2[[#This Row],[MergeCorpID]])=TRUE,0,IF(Table2[[#This Row],[SurvivingEdCorp]]=TRUE,1,2))</f>
        <v>1</v>
      </c>
      <c r="J881" s="1"/>
    </row>
    <row r="882" spans="2:10">
      <c r="B882" s="937" t="s">
        <v>1351</v>
      </c>
      <c r="C882" s="940">
        <v>2022</v>
      </c>
      <c r="D882" s="939">
        <v>2023</v>
      </c>
      <c r="E882" s="939">
        <v>527</v>
      </c>
      <c r="F882" s="936"/>
      <c r="G882" s="955" t="b">
        <f>IF(ISBLANK(Table2[[#This Row],[MergeCorpID]]=TRUE),"",AND(ISNUMBER(Table2[[#This Row],[MergeCorpID]])=TRUE,ISBLANK(Table2[[#This Row],[MergeName]])=FALSE))</f>
        <v>0</v>
      </c>
      <c r="H882" s="956">
        <f>IF(ISBLANK(Table2[[#This Row],[MergeCorpID]])=TRUE,0,IF(Table2[[#This Row],[SurvivingEdCorp]]=TRUE,1,2))</f>
        <v>2</v>
      </c>
      <c r="J882" s="1"/>
    </row>
    <row r="883" spans="2:10">
      <c r="B883" s="938" t="s">
        <v>612</v>
      </c>
      <c r="C883" s="935">
        <v>2019</v>
      </c>
      <c r="D883" s="935">
        <v>2020</v>
      </c>
      <c r="E883" s="941">
        <v>527</v>
      </c>
      <c r="F883" s="934"/>
      <c r="G883" s="953" t="b">
        <f>IF(ISBLANK(Table2[[#This Row],[MergeCorpID]]=TRUE),"",AND(ISNUMBER(Table2[[#This Row],[MergeCorpID]])=TRUE,ISBLANK(Table2[[#This Row],[MergeName]])=FALSE))</f>
        <v>0</v>
      </c>
      <c r="H883" s="954">
        <f>IF(ISBLANK(Table2[[#This Row],[MergeCorpID]])=TRUE,0,IF(Table2[[#This Row],[SurvivingEdCorp]]=TRUE,1,2))</f>
        <v>2</v>
      </c>
      <c r="J883" s="1"/>
    </row>
    <row r="884" spans="2:10">
      <c r="B884" s="937" t="s">
        <v>1342</v>
      </c>
      <c r="C884" s="940">
        <v>2021</v>
      </c>
      <c r="D884" s="939"/>
      <c r="E884" s="939"/>
      <c r="F884" s="936"/>
      <c r="G884" s="955" t="b">
        <f>IF(ISBLANK(Table2[[#This Row],[MergeCorpID]]=TRUE),"",AND(ISNUMBER(Table2[[#This Row],[MergeCorpID]])=TRUE,ISBLANK(Table2[[#This Row],[MergeName]])=FALSE))</f>
        <v>0</v>
      </c>
      <c r="H884" s="956">
        <f>IF(ISBLANK(Table2[[#This Row],[MergeCorpID]])=TRUE,0,IF(Table2[[#This Row],[SurvivingEdCorp]]=TRUE,1,2))</f>
        <v>0</v>
      </c>
      <c r="J884" s="1"/>
    </row>
    <row r="885" spans="2:10">
      <c r="B885" s="938" t="s">
        <v>645</v>
      </c>
      <c r="C885" s="935">
        <v>2019</v>
      </c>
      <c r="D885" s="935">
        <v>2020</v>
      </c>
      <c r="E885" s="941">
        <v>512</v>
      </c>
      <c r="F885" s="934"/>
      <c r="G885" s="953" t="b">
        <f>IF(ISBLANK(Table2[[#This Row],[MergeCorpID]]=TRUE),"",AND(ISNUMBER(Table2[[#This Row],[MergeCorpID]])=TRUE,ISBLANK(Table2[[#This Row],[MergeName]])=FALSE))</f>
        <v>0</v>
      </c>
      <c r="H885" s="954">
        <f>IF(ISBLANK(Table2[[#This Row],[MergeCorpID]])=TRUE,0,IF(Table2[[#This Row],[SurvivingEdCorp]]=TRUE,1,2))</f>
        <v>2</v>
      </c>
      <c r="J885" s="1"/>
    </row>
    <row r="886" spans="2:10">
      <c r="B886" s="937" t="s">
        <v>651</v>
      </c>
      <c r="C886" s="940">
        <v>2019</v>
      </c>
      <c r="D886" s="939">
        <v>2020</v>
      </c>
      <c r="E886" s="939">
        <v>512</v>
      </c>
      <c r="F886" s="936"/>
      <c r="G886" s="955" t="b">
        <f>IF(ISBLANK(Table2[[#This Row],[MergeCorpID]]=TRUE),"",AND(ISNUMBER(Table2[[#This Row],[MergeCorpID]])=TRUE,ISBLANK(Table2[[#This Row],[MergeName]])=FALSE))</f>
        <v>0</v>
      </c>
      <c r="H886" s="956">
        <f>IF(ISBLANK(Table2[[#This Row],[MergeCorpID]])=TRUE,0,IF(Table2[[#This Row],[SurvivingEdCorp]]=TRUE,1,2))</f>
        <v>2</v>
      </c>
      <c r="J886" s="1"/>
    </row>
    <row r="887" spans="2:10">
      <c r="B887" s="938" t="s">
        <v>435</v>
      </c>
      <c r="C887" s="935">
        <v>2011</v>
      </c>
      <c r="D887" s="935">
        <v>2014</v>
      </c>
      <c r="E887" s="941">
        <v>508</v>
      </c>
      <c r="F887" s="934" t="s">
        <v>589</v>
      </c>
      <c r="G887" s="953" t="b">
        <f>IF(ISBLANK(Table2[[#This Row],[MergeCorpID]]=TRUE),"",AND(ISNUMBER(Table2[[#This Row],[MergeCorpID]])=TRUE,ISBLANK(Table2[[#This Row],[MergeName]])=FALSE))</f>
        <v>1</v>
      </c>
      <c r="H887" s="954">
        <f>IF(ISBLANK(Table2[[#This Row],[MergeCorpID]])=TRUE,0,IF(Table2[[#This Row],[SurvivingEdCorp]]=TRUE,1,2))</f>
        <v>1</v>
      </c>
      <c r="J887" s="1"/>
    </row>
    <row r="888" spans="2:10">
      <c r="B888" s="937" t="s">
        <v>460</v>
      </c>
      <c r="C888" s="940">
        <v>2013</v>
      </c>
      <c r="D888" s="939">
        <v>2014</v>
      </c>
      <c r="E888" s="939">
        <v>508</v>
      </c>
      <c r="F888" s="936"/>
      <c r="G888" s="955" t="b">
        <f>IF(ISBLANK(Table2[[#This Row],[MergeCorpID]]=TRUE),"",AND(ISNUMBER(Table2[[#This Row],[MergeCorpID]])=TRUE,ISBLANK(Table2[[#This Row],[MergeName]])=FALSE))</f>
        <v>0</v>
      </c>
      <c r="H888" s="956">
        <f>IF(ISBLANK(Table2[[#This Row],[MergeCorpID]])=TRUE,0,IF(Table2[[#This Row],[SurvivingEdCorp]]=TRUE,1,2))</f>
        <v>2</v>
      </c>
      <c r="J888" s="1"/>
    </row>
    <row r="889" spans="2:10">
      <c r="B889" s="938" t="s">
        <v>590</v>
      </c>
      <c r="C889" s="935">
        <v>2018</v>
      </c>
      <c r="D889" s="935"/>
      <c r="E889" s="941"/>
      <c r="F889" s="934"/>
      <c r="G889" s="953" t="b">
        <f>IF(ISBLANK(Table2[[#This Row],[MergeCorpID]]=TRUE),"",AND(ISNUMBER(Table2[[#This Row],[MergeCorpID]])=TRUE,ISBLANK(Table2[[#This Row],[MergeName]])=FALSE))</f>
        <v>0</v>
      </c>
      <c r="H889" s="954">
        <f>IF(ISBLANK(Table2[[#This Row],[MergeCorpID]])=TRUE,0,IF(Table2[[#This Row],[SurvivingEdCorp]]=TRUE,1,2))</f>
        <v>0</v>
      </c>
      <c r="J889" s="1"/>
    </row>
    <row r="890" spans="2:10">
      <c r="B890" s="937" t="s">
        <v>543</v>
      </c>
      <c r="C890" s="940">
        <v>2017</v>
      </c>
      <c r="D890" s="939">
        <v>2018</v>
      </c>
      <c r="E890" s="939">
        <v>515</v>
      </c>
      <c r="F890" s="936"/>
      <c r="G890" s="955" t="b">
        <f>IF(ISBLANK(Table2[[#This Row],[MergeCorpID]]=TRUE),"",AND(ISNUMBER(Table2[[#This Row],[MergeCorpID]])=TRUE,ISBLANK(Table2[[#This Row],[MergeName]])=FALSE))</f>
        <v>0</v>
      </c>
      <c r="H890" s="956">
        <f>IF(ISBLANK(Table2[[#This Row],[MergeCorpID]])=TRUE,0,IF(Table2[[#This Row],[SurvivingEdCorp]]=TRUE,1,2))</f>
        <v>2</v>
      </c>
      <c r="J890" s="1"/>
    </row>
    <row r="891" spans="2:10">
      <c r="B891" s="938" t="s">
        <v>536</v>
      </c>
      <c r="C891" s="935">
        <v>2017</v>
      </c>
      <c r="D891" s="935">
        <v>2018</v>
      </c>
      <c r="E891" s="941">
        <v>515</v>
      </c>
      <c r="F891" s="934" t="s">
        <v>613</v>
      </c>
      <c r="G891" s="953" t="b">
        <f>IF(ISBLANK(Table2[[#This Row],[MergeCorpID]]=TRUE),"",AND(ISNUMBER(Table2[[#This Row],[MergeCorpID]])=TRUE,ISBLANK(Table2[[#This Row],[MergeName]])=FALSE))</f>
        <v>1</v>
      </c>
      <c r="H891" s="954">
        <f>IF(ISBLANK(Table2[[#This Row],[MergeCorpID]])=TRUE,0,IF(Table2[[#This Row],[SurvivingEdCorp]]=TRUE,1,2))</f>
        <v>1</v>
      </c>
      <c r="J891" s="1"/>
    </row>
    <row r="892" spans="2:10">
      <c r="B892" s="937" t="s">
        <v>394</v>
      </c>
      <c r="C892" s="940">
        <v>2000</v>
      </c>
      <c r="D892" s="939"/>
      <c r="E892" s="939"/>
      <c r="F892" s="936"/>
      <c r="G892" s="955" t="b">
        <f>IF(ISBLANK(Table2[[#This Row],[MergeCorpID]]=TRUE),"",AND(ISNUMBER(Table2[[#This Row],[MergeCorpID]])=TRUE,ISBLANK(Table2[[#This Row],[MergeName]])=FALSE))</f>
        <v>0</v>
      </c>
      <c r="H892" s="956">
        <f>IF(ISBLANK(Table2[[#This Row],[MergeCorpID]])=TRUE,0,IF(Table2[[#This Row],[SurvivingEdCorp]]=TRUE,1,2))</f>
        <v>0</v>
      </c>
      <c r="J892" s="1"/>
    </row>
    <row r="893" spans="2:10">
      <c r="B893" s="938" t="s">
        <v>395</v>
      </c>
      <c r="C893" s="935">
        <v>2004</v>
      </c>
      <c r="D893" s="935">
        <v>2016</v>
      </c>
      <c r="E893" s="941">
        <v>509</v>
      </c>
      <c r="F893" s="934"/>
      <c r="G893" s="953" t="b">
        <f>IF(ISBLANK(Table2[[#This Row],[MergeCorpID]]=TRUE),"",AND(ISNUMBER(Table2[[#This Row],[MergeCorpID]])=TRUE,ISBLANK(Table2[[#This Row],[MergeName]])=FALSE))</f>
        <v>0</v>
      </c>
      <c r="H893" s="954">
        <f>IF(ISBLANK(Table2[[#This Row],[MergeCorpID]])=TRUE,0,IF(Table2[[#This Row],[SurvivingEdCorp]]=TRUE,1,2))</f>
        <v>2</v>
      </c>
      <c r="J893" s="1"/>
    </row>
    <row r="894" spans="2:10">
      <c r="B894" s="937" t="s">
        <v>396</v>
      </c>
      <c r="C894" s="940">
        <v>2009</v>
      </c>
      <c r="D894" s="939">
        <v>2016</v>
      </c>
      <c r="E894" s="939">
        <v>509</v>
      </c>
      <c r="F894" s="936"/>
      <c r="G894" s="955" t="b">
        <f>IF(ISBLANK(Table2[[#This Row],[MergeCorpID]]=TRUE),"",AND(ISNUMBER(Table2[[#This Row],[MergeCorpID]])=TRUE,ISBLANK(Table2[[#This Row],[MergeName]])=FALSE))</f>
        <v>0</v>
      </c>
      <c r="H894" s="956">
        <f>IF(ISBLANK(Table2[[#This Row],[MergeCorpID]])=TRUE,0,IF(Table2[[#This Row],[SurvivingEdCorp]]=TRUE,1,2))</f>
        <v>2</v>
      </c>
      <c r="J894" s="1"/>
    </row>
    <row r="895" spans="2:10">
      <c r="B895" s="938" t="s">
        <v>477</v>
      </c>
      <c r="C895" s="935">
        <v>2015</v>
      </c>
      <c r="D895" s="935">
        <v>2016</v>
      </c>
      <c r="E895" s="941">
        <v>507</v>
      </c>
      <c r="F895" s="934"/>
      <c r="G895" s="953" t="b">
        <f>IF(ISBLANK(Table2[[#This Row],[MergeCorpID]]=TRUE),"",AND(ISNUMBER(Table2[[#This Row],[MergeCorpID]])=TRUE,ISBLANK(Table2[[#This Row],[MergeName]])=FALSE))</f>
        <v>0</v>
      </c>
      <c r="H895" s="954">
        <f>IF(ISBLANK(Table2[[#This Row],[MergeCorpID]])=TRUE,0,IF(Table2[[#This Row],[SurvivingEdCorp]]=TRUE,1,2))</f>
        <v>2</v>
      </c>
      <c r="J895" s="1"/>
    </row>
    <row r="896" spans="2:10">
      <c r="B896" s="937" t="s">
        <v>478</v>
      </c>
      <c r="C896" s="940">
        <v>2015</v>
      </c>
      <c r="D896" s="939">
        <v>2016</v>
      </c>
      <c r="E896" s="939">
        <v>507</v>
      </c>
      <c r="F896" s="936"/>
      <c r="G896" s="955" t="b">
        <f>IF(ISBLANK(Table2[[#This Row],[MergeCorpID]]=TRUE),"",AND(ISNUMBER(Table2[[#This Row],[MergeCorpID]])=TRUE,ISBLANK(Table2[[#This Row],[MergeName]])=FALSE))</f>
        <v>0</v>
      </c>
      <c r="H896" s="956">
        <f>IF(ISBLANK(Table2[[#This Row],[MergeCorpID]])=TRUE,0,IF(Table2[[#This Row],[SurvivingEdCorp]]=TRUE,1,2))</f>
        <v>2</v>
      </c>
      <c r="J896" s="1"/>
    </row>
    <row r="897" spans="2:10">
      <c r="B897" s="938" t="s">
        <v>448</v>
      </c>
      <c r="C897" s="935">
        <v>2012</v>
      </c>
      <c r="D897" s="935">
        <v>2016</v>
      </c>
      <c r="E897" s="941">
        <v>507</v>
      </c>
      <c r="F897" s="934"/>
      <c r="G897" s="953" t="b">
        <f>IF(ISBLANK(Table2[[#This Row],[MergeCorpID]]=TRUE),"",AND(ISNUMBER(Table2[[#This Row],[MergeCorpID]])=TRUE,ISBLANK(Table2[[#This Row],[MergeName]])=FALSE))</f>
        <v>0</v>
      </c>
      <c r="H897" s="954">
        <f>IF(ISBLANK(Table2[[#This Row],[MergeCorpID]])=TRUE,0,IF(Table2[[#This Row],[SurvivingEdCorp]]=TRUE,1,2))</f>
        <v>2</v>
      </c>
      <c r="J897" s="1"/>
    </row>
    <row r="898" spans="2:10">
      <c r="B898" s="937" t="s">
        <v>436</v>
      </c>
      <c r="C898" s="940">
        <v>2011</v>
      </c>
      <c r="D898" s="939">
        <v>2016</v>
      </c>
      <c r="E898" s="939">
        <v>507</v>
      </c>
      <c r="F898" s="936" t="s">
        <v>591</v>
      </c>
      <c r="G898" s="955" t="b">
        <f>IF(ISBLANK(Table2[[#This Row],[MergeCorpID]]=TRUE),"",AND(ISNUMBER(Table2[[#This Row],[MergeCorpID]])=TRUE,ISBLANK(Table2[[#This Row],[MergeName]])=FALSE))</f>
        <v>1</v>
      </c>
      <c r="H898" s="956">
        <f>IF(ISBLANK(Table2[[#This Row],[MergeCorpID]])=TRUE,0,IF(Table2[[#This Row],[SurvivingEdCorp]]=TRUE,1,2))</f>
        <v>1</v>
      </c>
      <c r="J898" s="1"/>
    </row>
    <row r="899" spans="2:10">
      <c r="B899" s="938" t="s">
        <v>397</v>
      </c>
      <c r="C899" s="935">
        <v>2001</v>
      </c>
      <c r="D899" s="935">
        <v>2015</v>
      </c>
      <c r="E899" s="941">
        <v>503</v>
      </c>
      <c r="F899" s="934" t="s">
        <v>592</v>
      </c>
      <c r="G899" s="953" t="b">
        <f>IF(ISBLANK(Table2[[#This Row],[MergeCorpID]]=TRUE),"",AND(ISNUMBER(Table2[[#This Row],[MergeCorpID]])=TRUE,ISBLANK(Table2[[#This Row],[MergeName]])=FALSE))</f>
        <v>1</v>
      </c>
      <c r="H899" s="954">
        <f>IF(ISBLANK(Table2[[#This Row],[MergeCorpID]])=TRUE,0,IF(Table2[[#This Row],[SurvivingEdCorp]]=TRUE,1,2))</f>
        <v>1</v>
      </c>
      <c r="J899" s="1"/>
    </row>
    <row r="900" spans="2:10">
      <c r="B900" s="937" t="s">
        <v>449</v>
      </c>
      <c r="C900" s="940">
        <v>2012</v>
      </c>
      <c r="D900" s="939">
        <v>2015</v>
      </c>
      <c r="E900" s="939">
        <v>503</v>
      </c>
      <c r="F900" s="936"/>
      <c r="G900" s="955" t="b">
        <f>IF(ISBLANK(Table2[[#This Row],[MergeCorpID]]=TRUE),"",AND(ISNUMBER(Table2[[#This Row],[MergeCorpID]])=TRUE,ISBLANK(Table2[[#This Row],[MergeName]])=FALSE))</f>
        <v>0</v>
      </c>
      <c r="H900" s="956">
        <f>IF(ISBLANK(Table2[[#This Row],[MergeCorpID]])=TRUE,0,IF(Table2[[#This Row],[SurvivingEdCorp]]=TRUE,1,2))</f>
        <v>2</v>
      </c>
      <c r="J900" s="1"/>
    </row>
    <row r="901" spans="2:10">
      <c r="B901" s="938" t="s">
        <v>464</v>
      </c>
      <c r="C901" s="935">
        <v>2014</v>
      </c>
      <c r="D901" s="935">
        <v>2015</v>
      </c>
      <c r="E901" s="941">
        <v>503</v>
      </c>
      <c r="F901" s="934"/>
      <c r="G901" s="953" t="b">
        <f>IF(ISBLANK(Table2[[#This Row],[MergeCorpID]]=TRUE),"",AND(ISNUMBER(Table2[[#This Row],[MergeCorpID]])=TRUE,ISBLANK(Table2[[#This Row],[MergeName]])=FALSE))</f>
        <v>0</v>
      </c>
      <c r="H901" s="954">
        <f>IF(ISBLANK(Table2[[#This Row],[MergeCorpID]])=TRUE,0,IF(Table2[[#This Row],[SurvivingEdCorp]]=TRUE,1,2))</f>
        <v>2</v>
      </c>
      <c r="J901" s="1"/>
    </row>
    <row r="902" spans="2:10">
      <c r="B902" s="937" t="s">
        <v>1352</v>
      </c>
      <c r="C902" s="940">
        <v>2022</v>
      </c>
      <c r="D902" s="939">
        <v>2023</v>
      </c>
      <c r="E902" s="939">
        <v>503</v>
      </c>
      <c r="F902" s="936"/>
      <c r="G902" s="955" t="b">
        <f>IF(ISBLANK(Table2[[#This Row],[MergeCorpID]]=TRUE),"",AND(ISNUMBER(Table2[[#This Row],[MergeCorpID]])=TRUE,ISBLANK(Table2[[#This Row],[MergeName]])=FALSE))</f>
        <v>0</v>
      </c>
      <c r="H902" s="956">
        <f>IF(ISBLANK(Table2[[#This Row],[MergeCorpID]])=TRUE,0,IF(Table2[[#This Row],[SurvivingEdCorp]]=TRUE,1,2))</f>
        <v>2</v>
      </c>
      <c r="J902" s="1"/>
    </row>
    <row r="903" spans="2:10">
      <c r="B903" s="938" t="s">
        <v>475</v>
      </c>
      <c r="C903" s="935">
        <v>2015</v>
      </c>
      <c r="D903" s="935"/>
      <c r="E903" s="941"/>
      <c r="F903" s="934"/>
      <c r="G903" s="953" t="b">
        <f>IF(ISBLANK(Table2[[#This Row],[MergeCorpID]]=TRUE),"",AND(ISNUMBER(Table2[[#This Row],[MergeCorpID]])=TRUE,ISBLANK(Table2[[#This Row],[MergeName]])=FALSE))</f>
        <v>0</v>
      </c>
      <c r="H903" s="954">
        <f>IF(ISBLANK(Table2[[#This Row],[MergeCorpID]])=TRUE,0,IF(Table2[[#This Row],[SurvivingEdCorp]]=TRUE,1,2))</f>
        <v>0</v>
      </c>
      <c r="J903" s="1"/>
    </row>
    <row r="904" spans="2:10">
      <c r="B904" s="937" t="s">
        <v>540</v>
      </c>
      <c r="C904" s="940">
        <v>2017</v>
      </c>
      <c r="D904" s="939"/>
      <c r="E904" s="939"/>
      <c r="F904" s="936"/>
      <c r="G904" s="955" t="b">
        <f>IF(ISBLANK(Table2[[#This Row],[MergeCorpID]]=TRUE),"",AND(ISNUMBER(Table2[[#This Row],[MergeCorpID]])=TRUE,ISBLANK(Table2[[#This Row],[MergeName]])=FALSE))</f>
        <v>0</v>
      </c>
      <c r="H904" s="956">
        <f>IF(ISBLANK(Table2[[#This Row],[MergeCorpID]])=TRUE,0,IF(Table2[[#This Row],[SurvivingEdCorp]]=TRUE,1,2))</f>
        <v>0</v>
      </c>
      <c r="J904" s="1"/>
    </row>
    <row r="905" spans="2:10">
      <c r="B905" s="938" t="s">
        <v>1353</v>
      </c>
      <c r="C905" s="935">
        <v>2022</v>
      </c>
      <c r="D905" s="935"/>
      <c r="E905" s="941"/>
      <c r="F905" s="934"/>
      <c r="G905" s="953" t="b">
        <f>IF(ISBLANK(Table2[[#This Row],[MergeCorpID]]=TRUE),"",AND(ISNUMBER(Table2[[#This Row],[MergeCorpID]])=TRUE,ISBLANK(Table2[[#This Row],[MergeName]])=FALSE))</f>
        <v>0</v>
      </c>
      <c r="H905" s="954">
        <f>IF(ISBLANK(Table2[[#This Row],[MergeCorpID]])=TRUE,0,IF(Table2[[#This Row],[SurvivingEdCorp]]=TRUE,1,2))</f>
        <v>0</v>
      </c>
      <c r="J905" s="1"/>
    </row>
    <row r="906" spans="2:10">
      <c r="B906" s="937" t="s">
        <v>398</v>
      </c>
      <c r="C906" s="940">
        <v>2005</v>
      </c>
      <c r="D906" s="939">
        <v>2015</v>
      </c>
      <c r="E906" s="939">
        <v>506</v>
      </c>
      <c r="F906" s="936" t="s">
        <v>593</v>
      </c>
      <c r="G906" s="955" t="b">
        <f>IF(ISBLANK(Table2[[#This Row],[MergeCorpID]]=TRUE),"",AND(ISNUMBER(Table2[[#This Row],[MergeCorpID]])=TRUE,ISBLANK(Table2[[#This Row],[MergeName]])=FALSE))</f>
        <v>1</v>
      </c>
      <c r="H906" s="956">
        <f>IF(ISBLANK(Table2[[#This Row],[MergeCorpID]])=TRUE,0,IF(Table2[[#This Row],[SurvivingEdCorp]]=TRUE,1,2))</f>
        <v>1</v>
      </c>
      <c r="J906" s="1"/>
    </row>
    <row r="907" spans="2:10">
      <c r="B907" s="938" t="s">
        <v>399</v>
      </c>
      <c r="C907" s="935">
        <v>2009</v>
      </c>
      <c r="D907" s="935">
        <v>2015</v>
      </c>
      <c r="E907" s="941">
        <v>506</v>
      </c>
      <c r="F907" s="934"/>
      <c r="G907" s="953" t="b">
        <f>IF(ISBLANK(Table2[[#This Row],[MergeCorpID]]=TRUE),"",AND(ISNUMBER(Table2[[#This Row],[MergeCorpID]])=TRUE,ISBLANK(Table2[[#This Row],[MergeName]])=FALSE))</f>
        <v>0</v>
      </c>
      <c r="H907" s="954">
        <f>IF(ISBLANK(Table2[[#This Row],[MergeCorpID]])=TRUE,0,IF(Table2[[#This Row],[SurvivingEdCorp]]=TRUE,1,2))</f>
        <v>2</v>
      </c>
      <c r="J907" s="1"/>
    </row>
    <row r="908" spans="2:10">
      <c r="B908" s="937" t="s">
        <v>654</v>
      </c>
      <c r="C908" s="940">
        <v>2020</v>
      </c>
      <c r="D908" s="939">
        <v>2021</v>
      </c>
      <c r="E908" s="939">
        <v>506</v>
      </c>
      <c r="F908" s="936"/>
      <c r="G908" s="955" t="b">
        <f>IF(ISBLANK(Table2[[#This Row],[MergeCorpID]]=TRUE),"",AND(ISNUMBER(Table2[[#This Row],[MergeCorpID]])=TRUE,ISBLANK(Table2[[#This Row],[MergeName]])=FALSE))</f>
        <v>0</v>
      </c>
      <c r="H908" s="956">
        <f>IF(ISBLANK(Table2[[#This Row],[MergeCorpID]])=TRUE,0,IF(Table2[[#This Row],[SurvivingEdCorp]]=TRUE,1,2))</f>
        <v>2</v>
      </c>
      <c r="J908" s="1"/>
    </row>
    <row r="909" spans="2:10">
      <c r="B909" s="938" t="s">
        <v>400</v>
      </c>
      <c r="C909" s="935">
        <v>2004</v>
      </c>
      <c r="D909" s="935"/>
      <c r="E909" s="941"/>
      <c r="F909" s="934"/>
      <c r="G909" s="953" t="b">
        <f>IF(ISBLANK(Table2[[#This Row],[MergeCorpID]]=TRUE),"",AND(ISNUMBER(Table2[[#This Row],[MergeCorpID]])=TRUE,ISBLANK(Table2[[#This Row],[MergeName]])=FALSE))</f>
        <v>0</v>
      </c>
      <c r="H909" s="954">
        <f>IF(ISBLANK(Table2[[#This Row],[MergeCorpID]])=TRUE,0,IF(Table2[[#This Row],[SurvivingEdCorp]]=TRUE,1,2))</f>
        <v>0</v>
      </c>
      <c r="J909" s="1"/>
    </row>
    <row r="910" spans="2:10">
      <c r="B910" s="937" t="s">
        <v>641</v>
      </c>
      <c r="C910" s="940">
        <v>2008</v>
      </c>
      <c r="D910" s="939"/>
      <c r="E910" s="939"/>
      <c r="F910" s="936"/>
      <c r="G910" s="955" t="b">
        <f>IF(ISBLANK(Table2[[#This Row],[MergeCorpID]]=TRUE),"",AND(ISNUMBER(Table2[[#This Row],[MergeCorpID]])=TRUE,ISBLANK(Table2[[#This Row],[MergeName]])=FALSE))</f>
        <v>0</v>
      </c>
      <c r="H910" s="956">
        <f>IF(ISBLANK(Table2[[#This Row],[MergeCorpID]])=TRUE,0,IF(Table2[[#This Row],[SurvivingEdCorp]]=TRUE,1,2))</f>
        <v>0</v>
      </c>
      <c r="J910" s="1"/>
    </row>
    <row r="911" spans="2:10">
      <c r="B911" s="938" t="s">
        <v>402</v>
      </c>
      <c r="C911" s="935">
        <v>2000</v>
      </c>
      <c r="D911" s="935"/>
      <c r="E911" s="941"/>
      <c r="F911" s="934"/>
      <c r="G911" s="953" t="b">
        <f>IF(ISBLANK(Table2[[#This Row],[MergeCorpID]]=TRUE),"",AND(ISNUMBER(Table2[[#This Row],[MergeCorpID]])=TRUE,ISBLANK(Table2[[#This Row],[MergeName]])=FALSE))</f>
        <v>0</v>
      </c>
      <c r="H911" s="954">
        <f>IF(ISBLANK(Table2[[#This Row],[MergeCorpID]])=TRUE,0,IF(Table2[[#This Row],[SurvivingEdCorp]]=TRUE,1,2))</f>
        <v>0</v>
      </c>
      <c r="J911" s="1"/>
    </row>
    <row r="912" spans="2:10">
      <c r="B912" s="937" t="s">
        <v>404</v>
      </c>
      <c r="C912" s="940">
        <v>2005</v>
      </c>
      <c r="D912" s="939"/>
      <c r="E912" s="939"/>
      <c r="F912" s="936"/>
      <c r="G912" s="955" t="b">
        <f>IF(ISBLANK(Table2[[#This Row],[MergeCorpID]]=TRUE),"",AND(ISNUMBER(Table2[[#This Row],[MergeCorpID]])=TRUE,ISBLANK(Table2[[#This Row],[MergeName]])=FALSE))</f>
        <v>0</v>
      </c>
      <c r="H912" s="956">
        <f>IF(ISBLANK(Table2[[#This Row],[MergeCorpID]])=TRUE,0,IF(Table2[[#This Row],[SurvivingEdCorp]]=TRUE,1,2))</f>
        <v>0</v>
      </c>
      <c r="J912" s="1"/>
    </row>
    <row r="913" spans="2:10">
      <c r="B913" s="938" t="s">
        <v>403</v>
      </c>
      <c r="C913" s="935">
        <v>2001</v>
      </c>
      <c r="D913" s="935">
        <v>2018</v>
      </c>
      <c r="E913" s="941">
        <v>520</v>
      </c>
      <c r="F913" s="934"/>
      <c r="G913" s="953" t="b">
        <f>IF(ISBLANK(Table2[[#This Row],[MergeCorpID]]=TRUE),"",AND(ISNUMBER(Table2[[#This Row],[MergeCorpID]])=TRUE,ISBLANK(Table2[[#This Row],[MergeName]])=FALSE))</f>
        <v>0</v>
      </c>
      <c r="H913" s="954">
        <f>IF(ISBLANK(Table2[[#This Row],[MergeCorpID]])=TRUE,0,IF(Table2[[#This Row],[SurvivingEdCorp]]=TRUE,1,2))</f>
        <v>2</v>
      </c>
      <c r="J913" s="1"/>
    </row>
    <row r="914" spans="2:10">
      <c r="B914" s="937" t="s">
        <v>594</v>
      </c>
      <c r="C914" s="940">
        <v>2005</v>
      </c>
      <c r="D914" s="939"/>
      <c r="E914" s="939"/>
      <c r="F914" s="936"/>
      <c r="G914" s="955" t="b">
        <f>IF(ISBLANK(Table2[[#This Row],[MergeCorpID]]=TRUE),"",AND(ISNUMBER(Table2[[#This Row],[MergeCorpID]])=TRUE,ISBLANK(Table2[[#This Row],[MergeName]])=FALSE))</f>
        <v>0</v>
      </c>
      <c r="H914" s="956">
        <f>IF(ISBLANK(Table2[[#This Row],[MergeCorpID]])=TRUE,0,IF(Table2[[#This Row],[SurvivingEdCorp]]=TRUE,1,2))</f>
        <v>0</v>
      </c>
      <c r="J914" s="1"/>
    </row>
    <row r="915" spans="2:10">
      <c r="B915" s="938" t="s">
        <v>614</v>
      </c>
      <c r="C915" s="935">
        <v>2019</v>
      </c>
      <c r="D915" s="935">
        <v>2020</v>
      </c>
      <c r="E915" s="941">
        <v>530</v>
      </c>
      <c r="F915" s="934"/>
      <c r="G915" s="953" t="b">
        <f>IF(ISBLANK(Table2[[#This Row],[MergeCorpID]]=TRUE),"",AND(ISNUMBER(Table2[[#This Row],[MergeCorpID]])=TRUE,ISBLANK(Table2[[#This Row],[MergeName]])=FALSE))</f>
        <v>0</v>
      </c>
      <c r="H915" s="954">
        <f>IF(ISBLANK(Table2[[#This Row],[MergeCorpID]])=TRUE,0,IF(Table2[[#This Row],[SurvivingEdCorp]]=TRUE,1,2))</f>
        <v>2</v>
      </c>
      <c r="J915" s="1"/>
    </row>
    <row r="916" spans="2:10">
      <c r="B916" s="937" t="s">
        <v>595</v>
      </c>
      <c r="C916" s="940">
        <v>2003</v>
      </c>
      <c r="D916" s="939">
        <v>2020</v>
      </c>
      <c r="E916" s="939">
        <v>530</v>
      </c>
      <c r="F916" s="936" t="s">
        <v>615</v>
      </c>
      <c r="G916" s="955" t="b">
        <f>IF(ISBLANK(Table2[[#This Row],[MergeCorpID]]=TRUE),"",AND(ISNUMBER(Table2[[#This Row],[MergeCorpID]])=TRUE,ISBLANK(Table2[[#This Row],[MergeName]])=FALSE))</f>
        <v>1</v>
      </c>
      <c r="H916" s="956">
        <f>IF(ISBLANK(Table2[[#This Row],[MergeCorpID]])=TRUE,0,IF(Table2[[#This Row],[SurvivingEdCorp]]=TRUE,1,2))</f>
        <v>1</v>
      </c>
      <c r="J916" s="1"/>
    </row>
    <row r="917" spans="2:10">
      <c r="B917" s="938" t="s">
        <v>411</v>
      </c>
      <c r="C917" s="935">
        <v>2007</v>
      </c>
      <c r="D917" s="935"/>
      <c r="E917" s="941"/>
      <c r="F917" s="934"/>
      <c r="G917" s="953" t="b">
        <f>IF(ISBLANK(Table2[[#This Row],[MergeCorpID]]=TRUE),"",AND(ISNUMBER(Table2[[#This Row],[MergeCorpID]])=TRUE,ISBLANK(Table2[[#This Row],[MergeName]])=FALSE))</f>
        <v>0</v>
      </c>
      <c r="H917" s="954">
        <f>IF(ISBLANK(Table2[[#This Row],[MergeCorpID]])=TRUE,0,IF(Table2[[#This Row],[SurvivingEdCorp]]=TRUE,1,2))</f>
        <v>0</v>
      </c>
      <c r="J917" s="1"/>
    </row>
    <row r="918" spans="2:10">
      <c r="B918" s="937" t="s">
        <v>412</v>
      </c>
      <c r="C918" s="940">
        <v>2001</v>
      </c>
      <c r="D918" s="939"/>
      <c r="E918" s="939"/>
      <c r="F918" s="936"/>
      <c r="G918" s="955" t="b">
        <f>IF(ISBLANK(Table2[[#This Row],[MergeCorpID]]=TRUE),"",AND(ISNUMBER(Table2[[#This Row],[MergeCorpID]])=TRUE,ISBLANK(Table2[[#This Row],[MergeName]])=FALSE))</f>
        <v>0</v>
      </c>
      <c r="H918" s="956">
        <f>IF(ISBLANK(Table2[[#This Row],[MergeCorpID]])=TRUE,0,IF(Table2[[#This Row],[SurvivingEdCorp]]=TRUE,1,2))</f>
        <v>0</v>
      </c>
      <c r="J918" s="1"/>
    </row>
    <row r="919" spans="2:10">
      <c r="B919" s="938" t="s">
        <v>413</v>
      </c>
      <c r="C919" s="935">
        <v>2007</v>
      </c>
      <c r="D919" s="935"/>
      <c r="E919" s="941"/>
      <c r="F919" s="934"/>
      <c r="G919" s="953" t="b">
        <f>IF(ISBLANK(Table2[[#This Row],[MergeCorpID]]=TRUE),"",AND(ISNUMBER(Table2[[#This Row],[MergeCorpID]])=TRUE,ISBLANK(Table2[[#This Row],[MergeName]])=FALSE))</f>
        <v>0</v>
      </c>
      <c r="H919" s="954">
        <f>IF(ISBLANK(Table2[[#This Row],[MergeCorpID]])=TRUE,0,IF(Table2[[#This Row],[SurvivingEdCorp]]=TRUE,1,2))</f>
        <v>0</v>
      </c>
      <c r="J919" s="1"/>
    </row>
    <row r="920" spans="2:10">
      <c r="B920" s="937" t="s">
        <v>414</v>
      </c>
      <c r="C920" s="940">
        <v>2008</v>
      </c>
      <c r="D920" s="939"/>
      <c r="E920" s="939"/>
      <c r="F920" s="936"/>
      <c r="G920" s="955" t="b">
        <f>IF(ISBLANK(Table2[[#This Row],[MergeCorpID]]=TRUE),"",AND(ISNUMBER(Table2[[#This Row],[MergeCorpID]])=TRUE,ISBLANK(Table2[[#This Row],[MergeName]])=FALSE))</f>
        <v>0</v>
      </c>
      <c r="H920" s="956">
        <f>IF(ISBLANK(Table2[[#This Row],[MergeCorpID]])=TRUE,0,IF(Table2[[#This Row],[SurvivingEdCorp]]=TRUE,1,2))</f>
        <v>0</v>
      </c>
      <c r="J920" s="1"/>
    </row>
    <row r="921" spans="2:10">
      <c r="B921" s="938" t="s">
        <v>415</v>
      </c>
      <c r="C921" s="935">
        <v>2009</v>
      </c>
      <c r="D921" s="935"/>
      <c r="E921" s="941"/>
      <c r="F921" s="934"/>
      <c r="G921" s="953" t="b">
        <f>IF(ISBLANK(Table2[[#This Row],[MergeCorpID]]=TRUE),"",AND(ISNUMBER(Table2[[#This Row],[MergeCorpID]])=TRUE,ISBLANK(Table2[[#This Row],[MergeName]])=FALSE))</f>
        <v>0</v>
      </c>
      <c r="H921" s="954">
        <f>IF(ISBLANK(Table2[[#This Row],[MergeCorpID]])=TRUE,0,IF(Table2[[#This Row],[SurvivingEdCorp]]=TRUE,1,2))</f>
        <v>0</v>
      </c>
      <c r="J921" s="1"/>
    </row>
    <row r="922" spans="2:10">
      <c r="B922" s="937" t="s">
        <v>416</v>
      </c>
      <c r="C922" s="940">
        <v>2011</v>
      </c>
      <c r="D922" s="939"/>
      <c r="E922" s="939"/>
      <c r="F922" s="936"/>
      <c r="G922" s="955" t="b">
        <f>IF(ISBLANK(Table2[[#This Row],[MergeCorpID]]=TRUE),"",AND(ISNUMBER(Table2[[#This Row],[MergeCorpID]])=TRUE,ISBLANK(Table2[[#This Row],[MergeName]])=FALSE))</f>
        <v>0</v>
      </c>
      <c r="H922" s="956">
        <f>IF(ISBLANK(Table2[[#This Row],[MergeCorpID]])=TRUE,0,IF(Table2[[#This Row],[SurvivingEdCorp]]=TRUE,1,2))</f>
        <v>0</v>
      </c>
      <c r="J922" s="1"/>
    </row>
    <row r="923" spans="2:10">
      <c r="B923" s="938" t="s">
        <v>450</v>
      </c>
      <c r="C923" s="935">
        <v>2012</v>
      </c>
      <c r="D923" s="935"/>
      <c r="E923" s="941"/>
      <c r="F923" s="934"/>
      <c r="G923" s="953" t="b">
        <f>IF(ISBLANK(Table2[[#This Row],[MergeCorpID]]=TRUE),"",AND(ISNUMBER(Table2[[#This Row],[MergeCorpID]])=TRUE,ISBLANK(Table2[[#This Row],[MergeName]])=FALSE))</f>
        <v>0</v>
      </c>
      <c r="H923" s="954">
        <f>IF(ISBLANK(Table2[[#This Row],[MergeCorpID]])=TRUE,0,IF(Table2[[#This Row],[SurvivingEdCorp]]=TRUE,1,2))</f>
        <v>0</v>
      </c>
      <c r="J923" s="1"/>
    </row>
    <row r="924" spans="2:10">
      <c r="B924" s="937" t="s">
        <v>451</v>
      </c>
      <c r="C924" s="940">
        <v>2013</v>
      </c>
      <c r="D924" s="939"/>
      <c r="E924" s="939"/>
      <c r="F924" s="936"/>
      <c r="G924" s="955" t="b">
        <f>IF(ISBLANK(Table2[[#This Row],[MergeCorpID]]=TRUE),"",AND(ISNUMBER(Table2[[#This Row],[MergeCorpID]])=TRUE,ISBLANK(Table2[[#This Row],[MergeName]])=FALSE))</f>
        <v>0</v>
      </c>
      <c r="H924" s="956">
        <f>IF(ISBLANK(Table2[[#This Row],[MergeCorpID]])=TRUE,0,IF(Table2[[#This Row],[SurvivingEdCorp]]=TRUE,1,2))</f>
        <v>0</v>
      </c>
      <c r="J924" s="1"/>
    </row>
    <row r="925" spans="2:10">
      <c r="B925" s="938" t="s">
        <v>1355</v>
      </c>
      <c r="C925" s="935">
        <v>2022</v>
      </c>
      <c r="D925" s="935"/>
      <c r="E925" s="941"/>
      <c r="F925" s="934"/>
      <c r="G925" s="953" t="b">
        <f>IF(ISBLANK(Table2[[#This Row],[MergeCorpID]]=TRUE),"",AND(ISNUMBER(Table2[[#This Row],[MergeCorpID]])=TRUE,ISBLANK(Table2[[#This Row],[MergeName]])=FALSE))</f>
        <v>0</v>
      </c>
      <c r="H925" s="954">
        <f>IF(ISBLANK(Table2[[#This Row],[MergeCorpID]])=TRUE,0,IF(Table2[[#This Row],[SurvivingEdCorp]]=TRUE,1,2))</f>
        <v>0</v>
      </c>
      <c r="J925" s="1"/>
    </row>
    <row r="926" spans="2:10">
      <c r="B926" s="937" t="s">
        <v>596</v>
      </c>
      <c r="C926" s="940">
        <v>2017</v>
      </c>
      <c r="D926" s="939"/>
      <c r="E926" s="939"/>
      <c r="F926" s="936"/>
      <c r="G926" s="955" t="b">
        <f>IF(ISBLANK(Table2[[#This Row],[MergeCorpID]]=TRUE),"",AND(ISNUMBER(Table2[[#This Row],[MergeCorpID]])=TRUE,ISBLANK(Table2[[#This Row],[MergeName]])=FALSE))</f>
        <v>0</v>
      </c>
      <c r="H926" s="956">
        <f>IF(ISBLANK(Table2[[#This Row],[MergeCorpID]])=TRUE,0,IF(Table2[[#This Row],[SurvivingEdCorp]]=TRUE,1,2))</f>
        <v>0</v>
      </c>
      <c r="J926" s="1"/>
    </row>
    <row r="927" spans="2:10">
      <c r="B927" s="938" t="s">
        <v>417</v>
      </c>
      <c r="C927" s="935">
        <v>2000</v>
      </c>
      <c r="D927" s="935"/>
      <c r="E927" s="941"/>
      <c r="F927" s="934"/>
      <c r="G927" s="953" t="b">
        <f>IF(ISBLANK(Table2[[#This Row],[MergeCorpID]]=TRUE),"",AND(ISNUMBER(Table2[[#This Row],[MergeCorpID]])=TRUE,ISBLANK(Table2[[#This Row],[MergeName]])=FALSE))</f>
        <v>0</v>
      </c>
      <c r="H927" s="954">
        <f>IF(ISBLANK(Table2[[#This Row],[MergeCorpID]])=TRUE,0,IF(Table2[[#This Row],[SurvivingEdCorp]]=TRUE,1,2))</f>
        <v>0</v>
      </c>
      <c r="J927" s="1"/>
    </row>
    <row r="928" spans="2:10">
      <c r="B928" s="937" t="s">
        <v>418</v>
      </c>
      <c r="C928" s="940">
        <v>2007</v>
      </c>
      <c r="D928" s="939">
        <v>2016</v>
      </c>
      <c r="E928" s="939">
        <v>509</v>
      </c>
      <c r="F928" s="936"/>
      <c r="G928" s="955" t="b">
        <f>IF(ISBLANK(Table2[[#This Row],[MergeCorpID]]=TRUE),"",AND(ISNUMBER(Table2[[#This Row],[MergeCorpID]])=TRUE,ISBLANK(Table2[[#This Row],[MergeName]])=FALSE))</f>
        <v>0</v>
      </c>
      <c r="H928" s="956">
        <f>IF(ISBLANK(Table2[[#This Row],[MergeCorpID]])=TRUE,0,IF(Table2[[#This Row],[SurvivingEdCorp]]=TRUE,1,2))</f>
        <v>2</v>
      </c>
      <c r="J928" s="1"/>
    </row>
    <row r="929" spans="2:10">
      <c r="B929" s="938" t="s">
        <v>1364</v>
      </c>
      <c r="C929" s="935">
        <v>2006</v>
      </c>
      <c r="D929" s="935">
        <v>2021</v>
      </c>
      <c r="E929" s="941">
        <v>532</v>
      </c>
      <c r="F929" s="934"/>
      <c r="G929" s="953" t="b">
        <f>IF(ISBLANK(Table2[[#This Row],[MergeCorpID]]=TRUE),"",AND(ISNUMBER(Table2[[#This Row],[MergeCorpID]])=TRUE,ISBLANK(Table2[[#This Row],[MergeName]])=FALSE))</f>
        <v>0</v>
      </c>
      <c r="H929" s="954">
        <f>IF(ISBLANK(Table2[[#This Row],[MergeCorpID]])=TRUE,0,IF(Table2[[#This Row],[SurvivingEdCorp]]=TRUE,1,2))</f>
        <v>2</v>
      </c>
      <c r="J929" s="1"/>
    </row>
    <row r="930" spans="2:10">
      <c r="B930" s="937" t="s">
        <v>616</v>
      </c>
      <c r="C930" s="940">
        <v>2019</v>
      </c>
      <c r="D930" s="939">
        <v>2020</v>
      </c>
      <c r="E930" s="939">
        <v>526</v>
      </c>
      <c r="F930" s="936"/>
      <c r="G930" s="955" t="b">
        <f>IF(ISBLANK(Table2[[#This Row],[MergeCorpID]]=TRUE),"",AND(ISNUMBER(Table2[[#This Row],[MergeCorpID]])=TRUE,ISBLANK(Table2[[#This Row],[MergeName]])=FALSE))</f>
        <v>0</v>
      </c>
      <c r="H930" s="956">
        <f>IF(ISBLANK(Table2[[#This Row],[MergeCorpID]])=TRUE,0,IF(Table2[[#This Row],[SurvivingEdCorp]]=TRUE,1,2))</f>
        <v>2</v>
      </c>
      <c r="J930" s="1"/>
    </row>
    <row r="931" spans="2:10">
      <c r="B931" s="938" t="s">
        <v>1341</v>
      </c>
      <c r="C931" s="935">
        <v>2021</v>
      </c>
      <c r="D931" s="935">
        <v>2021</v>
      </c>
      <c r="E931" s="941">
        <v>526</v>
      </c>
      <c r="F931" s="934"/>
      <c r="G931" s="953" t="b">
        <f>IF(ISBLANK(Table2[[#This Row],[MergeCorpID]]=TRUE),"",AND(ISNUMBER(Table2[[#This Row],[MergeCorpID]])=TRUE,ISBLANK(Table2[[#This Row],[MergeName]])=FALSE))</f>
        <v>0</v>
      </c>
      <c r="H931" s="954">
        <f>IF(ISBLANK(Table2[[#This Row],[MergeCorpID]])=TRUE,0,IF(Table2[[#This Row],[SurvivingEdCorp]]=TRUE,1,2))</f>
        <v>2</v>
      </c>
      <c r="J931" s="1"/>
    </row>
    <row r="932" spans="2:10">
      <c r="B932" s="937" t="s">
        <v>617</v>
      </c>
      <c r="C932" s="940">
        <v>2019</v>
      </c>
      <c r="D932" s="939">
        <v>2020</v>
      </c>
      <c r="E932" s="939">
        <v>526</v>
      </c>
      <c r="F932" s="936"/>
      <c r="G932" s="955" t="b">
        <f>IF(ISBLANK(Table2[[#This Row],[MergeCorpID]]=TRUE),"",AND(ISNUMBER(Table2[[#This Row],[MergeCorpID]])=TRUE,ISBLANK(Table2[[#This Row],[MergeName]])=FALSE))</f>
        <v>0</v>
      </c>
      <c r="H932" s="956">
        <f>IF(ISBLANK(Table2[[#This Row],[MergeCorpID]])=TRUE,0,IF(Table2[[#This Row],[SurvivingEdCorp]]=TRUE,1,2))</f>
        <v>2</v>
      </c>
      <c r="J932" s="1"/>
    </row>
    <row r="933" spans="2:10">
      <c r="B933" s="938" t="s">
        <v>619</v>
      </c>
      <c r="C933" s="935">
        <v>2019</v>
      </c>
      <c r="D933" s="935">
        <v>2020</v>
      </c>
      <c r="E933" s="941">
        <v>526</v>
      </c>
      <c r="F933" s="934" t="s">
        <v>618</v>
      </c>
      <c r="G933" s="953" t="b">
        <f>IF(ISBLANK(Table2[[#This Row],[MergeCorpID]]=TRUE),"",AND(ISNUMBER(Table2[[#This Row],[MergeCorpID]])=TRUE,ISBLANK(Table2[[#This Row],[MergeName]])=FALSE))</f>
        <v>1</v>
      </c>
      <c r="H933" s="954">
        <f>IF(ISBLANK(Table2[[#This Row],[MergeCorpID]])=TRUE,0,IF(Table2[[#This Row],[SurvivingEdCorp]]=TRUE,1,2))</f>
        <v>1</v>
      </c>
      <c r="J933" s="1"/>
    </row>
    <row r="934" spans="2:10">
      <c r="B934" s="937" t="s">
        <v>620</v>
      </c>
      <c r="C934" s="940">
        <v>2019</v>
      </c>
      <c r="D934" s="939">
        <v>2020</v>
      </c>
      <c r="E934" s="939">
        <v>526</v>
      </c>
      <c r="F934" s="936"/>
      <c r="G934" s="955" t="b">
        <f>IF(ISBLANK(Table2[[#This Row],[MergeCorpID]]=TRUE),"",AND(ISNUMBER(Table2[[#This Row],[MergeCorpID]])=TRUE,ISBLANK(Table2[[#This Row],[MergeName]])=FALSE))</f>
        <v>0</v>
      </c>
      <c r="H934" s="956">
        <f>IF(ISBLANK(Table2[[#This Row],[MergeCorpID]])=TRUE,0,IF(Table2[[#This Row],[SurvivingEdCorp]]=TRUE,1,2))</f>
        <v>2</v>
      </c>
      <c r="J934" s="1"/>
    </row>
    <row r="935" spans="2:10">
      <c r="B935" s="938" t="s">
        <v>621</v>
      </c>
      <c r="C935" s="935">
        <v>2019</v>
      </c>
      <c r="D935" s="935">
        <v>2020</v>
      </c>
      <c r="E935" s="941">
        <v>526</v>
      </c>
      <c r="F935" s="934"/>
      <c r="G935" s="953" t="b">
        <f>IF(ISBLANK(Table2[[#This Row],[MergeCorpID]]=TRUE),"",AND(ISNUMBER(Table2[[#This Row],[MergeCorpID]])=TRUE,ISBLANK(Table2[[#This Row],[MergeName]])=FALSE))</f>
        <v>0</v>
      </c>
      <c r="H935" s="954">
        <f>IF(ISBLANK(Table2[[#This Row],[MergeCorpID]])=TRUE,0,IF(Table2[[#This Row],[SurvivingEdCorp]]=TRUE,1,2))</f>
        <v>2</v>
      </c>
      <c r="J935" s="1"/>
    </row>
    <row r="936" spans="2:10">
      <c r="B936" s="937" t="s">
        <v>655</v>
      </c>
      <c r="C936" s="940">
        <v>2019</v>
      </c>
      <c r="D936" s="939">
        <v>2020</v>
      </c>
      <c r="E936" s="939">
        <v>526</v>
      </c>
      <c r="F936" s="936"/>
      <c r="G936" s="955" t="b">
        <f>IF(ISBLANK(Table2[[#This Row],[MergeCorpID]]=TRUE),"",AND(ISNUMBER(Table2[[#This Row],[MergeCorpID]])=TRUE,ISBLANK(Table2[[#This Row],[MergeName]])=FALSE))</f>
        <v>0</v>
      </c>
      <c r="H936" s="956">
        <f>IF(ISBLANK(Table2[[#This Row],[MergeCorpID]])=TRUE,0,IF(Table2[[#This Row],[SurvivingEdCorp]]=TRUE,1,2))</f>
        <v>2</v>
      </c>
      <c r="J936" s="1"/>
    </row>
    <row r="937" spans="2:10">
      <c r="B937" s="938" t="s">
        <v>622</v>
      </c>
      <c r="C937" s="935">
        <v>2003</v>
      </c>
      <c r="D937" s="935">
        <v>2020</v>
      </c>
      <c r="E937" s="941">
        <v>526</v>
      </c>
      <c r="F937" s="934"/>
      <c r="G937" s="953" t="b">
        <f>IF(ISBLANK(Table2[[#This Row],[MergeCorpID]]=TRUE),"",AND(ISNUMBER(Table2[[#This Row],[MergeCorpID]])=TRUE,ISBLANK(Table2[[#This Row],[MergeName]])=FALSE))</f>
        <v>0</v>
      </c>
      <c r="H937" s="954">
        <f>IF(ISBLANK(Table2[[#This Row],[MergeCorpID]])=TRUE,0,IF(Table2[[#This Row],[SurvivingEdCorp]]=TRUE,1,2))</f>
        <v>2</v>
      </c>
      <c r="J937" s="1"/>
    </row>
    <row r="938" spans="2:10">
      <c r="B938" s="937" t="s">
        <v>419</v>
      </c>
      <c r="C938" s="940">
        <v>2005</v>
      </c>
      <c r="D938" s="939">
        <v>2021</v>
      </c>
      <c r="E938" s="939">
        <v>532</v>
      </c>
      <c r="F938" s="936" t="s">
        <v>1365</v>
      </c>
      <c r="G938" s="955" t="b">
        <f>IF(ISBLANK(Table2[[#This Row],[MergeCorpID]]=TRUE),"",AND(ISNUMBER(Table2[[#This Row],[MergeCorpID]])=TRUE,ISBLANK(Table2[[#This Row],[MergeName]])=FALSE))</f>
        <v>1</v>
      </c>
      <c r="H938" s="956">
        <f>IF(ISBLANK(Table2[[#This Row],[MergeCorpID]])=TRUE,0,IF(Table2[[#This Row],[SurvivingEdCorp]]=TRUE,1,2))</f>
        <v>1</v>
      </c>
      <c r="J938" s="1"/>
    </row>
    <row r="939" spans="2:10">
      <c r="B939" s="938" t="s">
        <v>1363</v>
      </c>
      <c r="C939" s="935">
        <v>2009</v>
      </c>
      <c r="D939" s="935">
        <v>2023</v>
      </c>
      <c r="E939" s="941">
        <v>532</v>
      </c>
      <c r="F939" s="934"/>
      <c r="G939" s="953" t="b">
        <f>IF(ISBLANK(Table2[[#This Row],[MergeCorpID]]=TRUE),"",AND(ISNUMBER(Table2[[#This Row],[MergeCorpID]])=TRUE,ISBLANK(Table2[[#This Row],[MergeName]])=FALSE))</f>
        <v>0</v>
      </c>
      <c r="H939" s="954">
        <f>IF(ISBLANK(Table2[[#This Row],[MergeCorpID]])=TRUE,0,IF(Table2[[#This Row],[SurvivingEdCorp]]=TRUE,1,2))</f>
        <v>2</v>
      </c>
      <c r="J939" s="1"/>
    </row>
    <row r="940" spans="2:10">
      <c r="B940" s="937" t="s">
        <v>653</v>
      </c>
      <c r="C940" s="940">
        <v>2020</v>
      </c>
      <c r="D940" s="939"/>
      <c r="E940" s="939"/>
      <c r="F940" s="936"/>
      <c r="G940" s="955" t="b">
        <f>IF(ISBLANK(Table2[[#This Row],[MergeCorpID]]=TRUE),"",AND(ISNUMBER(Table2[[#This Row],[MergeCorpID]])=TRUE,ISBLANK(Table2[[#This Row],[MergeName]])=FALSE))</f>
        <v>0</v>
      </c>
      <c r="H940" s="956">
        <f>IF(ISBLANK(Table2[[#This Row],[MergeCorpID]])=TRUE,0,IF(Table2[[#This Row],[SurvivingEdCorp]]=TRUE,1,2))</f>
        <v>0</v>
      </c>
      <c r="J940" s="1"/>
    </row>
    <row r="941" spans="2:10">
      <c r="B941" s="938" t="s">
        <v>1348</v>
      </c>
      <c r="C941" s="935">
        <v>2017</v>
      </c>
      <c r="D941" s="935"/>
      <c r="E941" s="941"/>
      <c r="F941" s="934"/>
      <c r="G941" s="953" t="b">
        <f>IF(ISBLANK(Table2[[#This Row],[MergeCorpID]]=TRUE),"",AND(ISNUMBER(Table2[[#This Row],[MergeCorpID]])=TRUE,ISBLANK(Table2[[#This Row],[MergeName]])=FALSE))</f>
        <v>0</v>
      </c>
      <c r="H941" s="954">
        <f>IF(ISBLANK(Table2[[#This Row],[MergeCorpID]])=TRUE,0,IF(Table2[[#This Row],[SurvivingEdCorp]]=TRUE,1,2))</f>
        <v>0</v>
      </c>
      <c r="J941" s="1"/>
    </row>
    <row r="942" spans="2:10">
      <c r="B942" s="937" t="s">
        <v>420</v>
      </c>
      <c r="C942" s="940">
        <v>2006</v>
      </c>
      <c r="D942" s="939">
        <v>2016</v>
      </c>
      <c r="E942" s="939">
        <v>509</v>
      </c>
      <c r="F942" s="936" t="s">
        <v>597</v>
      </c>
      <c r="G942" s="955" t="b">
        <f>IF(ISBLANK(Table2[[#This Row],[MergeCorpID]]=TRUE),"",AND(ISNUMBER(Table2[[#This Row],[MergeCorpID]])=TRUE,ISBLANK(Table2[[#This Row],[MergeName]])=FALSE))</f>
        <v>1</v>
      </c>
      <c r="H942" s="956">
        <f>IF(ISBLANK(Table2[[#This Row],[MergeCorpID]])=TRUE,0,IF(Table2[[#This Row],[SurvivingEdCorp]]=TRUE,1,2))</f>
        <v>1</v>
      </c>
      <c r="J942" s="1"/>
    </row>
    <row r="943" spans="2:10">
      <c r="B943" s="938" t="s">
        <v>421</v>
      </c>
      <c r="C943" s="935">
        <v>2009</v>
      </c>
      <c r="D943" s="935">
        <v>2016</v>
      </c>
      <c r="E943" s="941">
        <v>509</v>
      </c>
      <c r="F943" s="934"/>
      <c r="G943" s="953" t="b">
        <f>IF(ISBLANK(Table2[[#This Row],[MergeCorpID]]=TRUE),"",AND(ISNUMBER(Table2[[#This Row],[MergeCorpID]])=TRUE,ISBLANK(Table2[[#This Row],[MergeName]])=FALSE))</f>
        <v>0</v>
      </c>
      <c r="H943" s="954">
        <f>IF(ISBLANK(Table2[[#This Row],[MergeCorpID]])=TRUE,0,IF(Table2[[#This Row],[SurvivingEdCorp]]=TRUE,1,2))</f>
        <v>2</v>
      </c>
      <c r="J943" s="1"/>
    </row>
    <row r="944" spans="2:10">
      <c r="B944" s="937" t="s">
        <v>423</v>
      </c>
      <c r="C944" s="940">
        <v>2013</v>
      </c>
      <c r="D944" s="939">
        <v>2016</v>
      </c>
      <c r="E944" s="939">
        <v>509</v>
      </c>
      <c r="F944" s="936"/>
      <c r="G944" s="955" t="b">
        <f>IF(ISBLANK(Table2[[#This Row],[MergeCorpID]]=TRUE),"",AND(ISNUMBER(Table2[[#This Row],[MergeCorpID]])=TRUE,ISBLANK(Table2[[#This Row],[MergeName]])=FALSE))</f>
        <v>0</v>
      </c>
      <c r="H944" s="956">
        <f>IF(ISBLANK(Table2[[#This Row],[MergeCorpID]])=TRUE,0,IF(Table2[[#This Row],[SurvivingEdCorp]]=TRUE,1,2))</f>
        <v>2</v>
      </c>
      <c r="J944" s="1"/>
    </row>
    <row r="945" spans="2:10">
      <c r="B945" s="938" t="s">
        <v>422</v>
      </c>
      <c r="C945" s="935">
        <v>2010</v>
      </c>
      <c r="D945" s="935">
        <v>2016</v>
      </c>
      <c r="E945" s="941">
        <v>509</v>
      </c>
      <c r="F945" s="934"/>
      <c r="G945" s="953" t="b">
        <f>IF(ISBLANK(Table2[[#This Row],[MergeCorpID]]=TRUE),"",AND(ISNUMBER(Table2[[#This Row],[MergeCorpID]])=TRUE,ISBLANK(Table2[[#This Row],[MergeName]])=FALSE))</f>
        <v>0</v>
      </c>
      <c r="H945" s="954">
        <f>IF(ISBLANK(Table2[[#This Row],[MergeCorpID]])=TRUE,0,IF(Table2[[#This Row],[SurvivingEdCorp]]=TRUE,1,2))</f>
        <v>2</v>
      </c>
      <c r="J945" s="1"/>
    </row>
    <row r="946" spans="2:10">
      <c r="B946" s="937" t="s">
        <v>650</v>
      </c>
      <c r="C946" s="940">
        <v>2019</v>
      </c>
      <c r="D946" s="939">
        <v>2020</v>
      </c>
      <c r="E946" s="939">
        <v>512</v>
      </c>
      <c r="F946" s="936"/>
      <c r="G946" s="955" t="b">
        <f>IF(ISBLANK(Table2[[#This Row],[MergeCorpID]]=TRUE),"",AND(ISNUMBER(Table2[[#This Row],[MergeCorpID]])=TRUE,ISBLANK(Table2[[#This Row],[MergeName]])=FALSE))</f>
        <v>0</v>
      </c>
      <c r="H946" s="956">
        <f>IF(ISBLANK(Table2[[#This Row],[MergeCorpID]])=TRUE,0,IF(Table2[[#This Row],[SurvivingEdCorp]]=TRUE,1,2))</f>
        <v>2</v>
      </c>
      <c r="J946" s="1"/>
    </row>
    <row r="947" spans="2:10">
      <c r="B947" s="938" t="s">
        <v>541</v>
      </c>
      <c r="C947" s="935">
        <v>2017</v>
      </c>
      <c r="D947" s="935"/>
      <c r="E947" s="941"/>
      <c r="F947" s="934"/>
      <c r="G947" s="953" t="b">
        <f>IF(ISBLANK(Table2[[#This Row],[MergeCorpID]]=TRUE),"",AND(ISNUMBER(Table2[[#This Row],[MergeCorpID]])=TRUE,ISBLANK(Table2[[#This Row],[MergeName]])=FALSE))</f>
        <v>0</v>
      </c>
      <c r="H947" s="954">
        <f>IF(ISBLANK(Table2[[#This Row],[MergeCorpID]])=TRUE,0,IF(Table2[[#This Row],[SurvivingEdCorp]]=TRUE,1,2))</f>
        <v>0</v>
      </c>
      <c r="J947" s="1"/>
    </row>
    <row r="948" spans="2:10">
      <c r="B948" s="937" t="s">
        <v>1356</v>
      </c>
      <c r="C948" s="940">
        <v>2022</v>
      </c>
      <c r="D948" s="939"/>
      <c r="E948" s="939"/>
      <c r="F948" s="936"/>
      <c r="G948" s="955" t="b">
        <f>IF(ISBLANK(Table2[[#This Row],[MergeCorpID]]=TRUE),"",AND(ISNUMBER(Table2[[#This Row],[MergeCorpID]])=TRUE,ISBLANK(Table2[[#This Row],[MergeName]])=FALSE))</f>
        <v>0</v>
      </c>
      <c r="H948" s="956">
        <f>IF(ISBLANK(Table2[[#This Row],[MergeCorpID]])=TRUE,0,IF(Table2[[#This Row],[SurvivingEdCorp]]=TRUE,1,2))</f>
        <v>0</v>
      </c>
      <c r="J948" s="1"/>
    </row>
    <row r="949" spans="2:10">
      <c r="B949" s="938" t="s">
        <v>488</v>
      </c>
      <c r="C949" s="935">
        <v>2016</v>
      </c>
      <c r="D949" s="935">
        <v>2017</v>
      </c>
      <c r="E949" s="941">
        <v>513</v>
      </c>
      <c r="F949" s="934"/>
      <c r="G949" s="953" t="b">
        <f>IF(ISBLANK(Table2[[#This Row],[MergeCorpID]]=TRUE),"",AND(ISNUMBER(Table2[[#This Row],[MergeCorpID]])=TRUE,ISBLANK(Table2[[#This Row],[MergeName]])=FALSE))</f>
        <v>0</v>
      </c>
      <c r="H949" s="954">
        <f>IF(ISBLANK(Table2[[#This Row],[MergeCorpID]])=TRUE,0,IF(Table2[[#This Row],[SurvivingEdCorp]]=TRUE,1,2))</f>
        <v>2</v>
      </c>
      <c r="J949" s="1"/>
    </row>
    <row r="950" spans="2:10">
      <c r="B950" s="937" t="s">
        <v>452</v>
      </c>
      <c r="C950" s="940">
        <v>2012</v>
      </c>
      <c r="D950" s="939">
        <v>2017</v>
      </c>
      <c r="E950" s="939">
        <v>513</v>
      </c>
      <c r="F950" s="936" t="s">
        <v>598</v>
      </c>
      <c r="G950" s="955" t="b">
        <f>IF(ISBLANK(Table2[[#This Row],[MergeCorpID]]=TRUE),"",AND(ISNUMBER(Table2[[#This Row],[MergeCorpID]])=TRUE,ISBLANK(Table2[[#This Row],[MergeName]])=FALSE))</f>
        <v>1</v>
      </c>
      <c r="H950" s="956">
        <f>IF(ISBLANK(Table2[[#This Row],[MergeCorpID]])=TRUE,0,IF(Table2[[#This Row],[SurvivingEdCorp]]=TRUE,1,2))</f>
        <v>1</v>
      </c>
      <c r="J950" s="1"/>
    </row>
    <row r="951" spans="2:10">
      <c r="B951" s="938" t="s">
        <v>424</v>
      </c>
      <c r="C951" s="935">
        <v>2000</v>
      </c>
      <c r="D951" s="935"/>
      <c r="E951" s="941"/>
      <c r="F951" s="934"/>
      <c r="G951" s="953" t="b">
        <f>IF(ISBLANK(Table2[[#This Row],[MergeCorpID]]=TRUE),"",AND(ISNUMBER(Table2[[#This Row],[MergeCorpID]])=TRUE,ISBLANK(Table2[[#This Row],[MergeName]])=FALSE))</f>
        <v>0</v>
      </c>
      <c r="H951" s="954">
        <f>IF(ISBLANK(Table2[[#This Row],[MergeCorpID]])=TRUE,0,IF(Table2[[#This Row],[SurvivingEdCorp]]=TRUE,1,2))</f>
        <v>0</v>
      </c>
      <c r="J951" s="1"/>
    </row>
    <row r="952" spans="2:10">
      <c r="B952" s="937" t="s">
        <v>463</v>
      </c>
      <c r="C952" s="940">
        <v>2013</v>
      </c>
      <c r="D952" s="939"/>
      <c r="E952" s="939"/>
      <c r="F952" s="936"/>
      <c r="G952" s="955" t="b">
        <f>IF(ISBLANK(Table2[[#This Row],[MergeCorpID]]=TRUE),"",AND(ISNUMBER(Table2[[#This Row],[MergeCorpID]])=TRUE,ISBLANK(Table2[[#This Row],[MergeName]])=FALSE))</f>
        <v>0</v>
      </c>
      <c r="H952" s="956">
        <f>IF(ISBLANK(Table2[[#This Row],[MergeCorpID]])=TRUE,0,IF(Table2[[#This Row],[SurvivingEdCorp]]=TRUE,1,2))</f>
        <v>0</v>
      </c>
      <c r="J952" s="1"/>
    </row>
    <row r="953" spans="2:10">
      <c r="B953" s="938" t="s">
        <v>425</v>
      </c>
      <c r="C953" s="935">
        <v>2009</v>
      </c>
      <c r="D953" s="935"/>
      <c r="E953" s="941"/>
      <c r="F953" s="934"/>
      <c r="G953" s="953" t="b">
        <f>IF(ISBLANK(Table2[[#This Row],[MergeCorpID]]=TRUE),"",AND(ISNUMBER(Table2[[#This Row],[MergeCorpID]])=TRUE,ISBLANK(Table2[[#This Row],[MergeName]])=FALSE))</f>
        <v>0</v>
      </c>
      <c r="H953" s="954">
        <f>IF(ISBLANK(Table2[[#This Row],[MergeCorpID]])=TRUE,0,IF(Table2[[#This Row],[SurvivingEdCorp]]=TRUE,1,2))</f>
        <v>0</v>
      </c>
      <c r="J953" s="1"/>
    </row>
    <row r="954" spans="2:10">
      <c r="B954" s="937" t="s">
        <v>549</v>
      </c>
      <c r="C954" s="940">
        <v>2012</v>
      </c>
      <c r="D954" s="939"/>
      <c r="E954" s="939"/>
      <c r="F954" s="936"/>
      <c r="G954" s="955" t="b">
        <f>IF(ISBLANK(Table2[[#This Row],[MergeCorpID]]=TRUE),"",AND(ISNUMBER(Table2[[#This Row],[MergeCorpID]])=TRUE,ISBLANK(Table2[[#This Row],[MergeName]])=FALSE))</f>
        <v>0</v>
      </c>
      <c r="H954" s="956">
        <f>IF(ISBLANK(Table2[[#This Row],[MergeCorpID]])=TRUE,0,IF(Table2[[#This Row],[SurvivingEdCorp]]=TRUE,1,2))</f>
        <v>0</v>
      </c>
      <c r="J954" s="1"/>
    </row>
    <row r="955" spans="2:10">
      <c r="B955" s="938" t="s">
        <v>550</v>
      </c>
      <c r="C955" s="935">
        <v>2012</v>
      </c>
      <c r="D955" s="935"/>
      <c r="E955" s="941"/>
      <c r="F955" s="934"/>
      <c r="G955" s="953" t="b">
        <f>IF(ISBLANK(Table2[[#This Row],[MergeCorpID]]=TRUE),"",AND(ISNUMBER(Table2[[#This Row],[MergeCorpID]])=TRUE,ISBLANK(Table2[[#This Row],[MergeName]])=FALSE))</f>
        <v>0</v>
      </c>
      <c r="H955" s="954">
        <f>IF(ISBLANK(Table2[[#This Row],[MergeCorpID]])=TRUE,0,IF(Table2[[#This Row],[SurvivingEdCorp]]=TRUE,1,2))</f>
        <v>0</v>
      </c>
      <c r="J955" s="1"/>
    </row>
    <row r="956" spans="2:10">
      <c r="B956" s="937" t="s">
        <v>437</v>
      </c>
      <c r="C956" s="940">
        <v>2011</v>
      </c>
      <c r="D956" s="939"/>
      <c r="E956" s="939"/>
      <c r="F956" s="936"/>
      <c r="G956" s="955" t="b">
        <f>IF(ISBLANK(Table2[[#This Row],[MergeCorpID]]=TRUE),"",AND(ISNUMBER(Table2[[#This Row],[MergeCorpID]])=TRUE,ISBLANK(Table2[[#This Row],[MergeName]])=FALSE))</f>
        <v>0</v>
      </c>
      <c r="H956" s="956">
        <f>IF(ISBLANK(Table2[[#This Row],[MergeCorpID]])=TRUE,0,IF(Table2[[#This Row],[SurvivingEdCorp]]=TRUE,1,2))</f>
        <v>0</v>
      </c>
      <c r="J956" s="1"/>
    </row>
    <row r="957" spans="2:10">
      <c r="B957" s="938" t="s">
        <v>438</v>
      </c>
      <c r="C957" s="935">
        <v>2011</v>
      </c>
      <c r="D957" s="935"/>
      <c r="E957" s="941"/>
      <c r="F957" s="934"/>
      <c r="G957" s="953" t="b">
        <f>IF(ISBLANK(Table2[[#This Row],[MergeCorpID]]=TRUE),"",AND(ISNUMBER(Table2[[#This Row],[MergeCorpID]])=TRUE,ISBLANK(Table2[[#This Row],[MergeName]])=FALSE))</f>
        <v>0</v>
      </c>
      <c r="H957" s="954">
        <f>IF(ISBLANK(Table2[[#This Row],[MergeCorpID]])=TRUE,0,IF(Table2[[#This Row],[SurvivingEdCorp]]=TRUE,1,2))</f>
        <v>0</v>
      </c>
      <c r="J957" s="1"/>
    </row>
    <row r="958" spans="2:10">
      <c r="B958" s="937" t="s">
        <v>426</v>
      </c>
      <c r="C958" s="940">
        <v>2010</v>
      </c>
      <c r="D958" s="939"/>
      <c r="E958" s="939"/>
      <c r="F958" s="936"/>
      <c r="G958" s="955" t="b">
        <f>IF(ISBLANK(Table2[[#This Row],[MergeCorpID]]=TRUE),"",AND(ISNUMBER(Table2[[#This Row],[MergeCorpID]])=TRUE,ISBLANK(Table2[[#This Row],[MergeName]])=FALSE))</f>
        <v>0</v>
      </c>
      <c r="H958" s="956">
        <f>IF(ISBLANK(Table2[[#This Row],[MergeCorpID]])=TRUE,0,IF(Table2[[#This Row],[SurvivingEdCorp]]=TRUE,1,2))</f>
        <v>0</v>
      </c>
      <c r="J958" s="1"/>
    </row>
    <row r="959" spans="2:10">
      <c r="B959" s="938" t="s">
        <v>480</v>
      </c>
      <c r="C959" s="935">
        <v>2016</v>
      </c>
      <c r="D959" s="935"/>
      <c r="E959" s="941"/>
      <c r="F959" s="934"/>
      <c r="G959" s="953" t="b">
        <f>IF(ISBLANK(Table2[[#This Row],[MergeCorpID]]=TRUE),"",AND(ISNUMBER(Table2[[#This Row],[MergeCorpID]])=TRUE,ISBLANK(Table2[[#This Row],[MergeName]])=FALSE))</f>
        <v>0</v>
      </c>
      <c r="H959" s="954">
        <f>IF(ISBLANK(Table2[[#This Row],[MergeCorpID]])=TRUE,0,IF(Table2[[#This Row],[SurvivingEdCorp]]=TRUE,1,2))</f>
        <v>0</v>
      </c>
      <c r="J959" s="1"/>
    </row>
    <row r="960" spans="2:10">
      <c r="B960" s="938" t="s">
        <v>2048</v>
      </c>
      <c r="C960" s="935">
        <v>2023</v>
      </c>
      <c r="D960" s="935"/>
      <c r="E960" s="941"/>
      <c r="F960" s="934"/>
      <c r="G960" s="955" t="b">
        <f>IF(ISBLANK(Table2[[#This Row],[MergeCorpID]]=TRUE),"",AND(ISNUMBER(Table2[[#This Row],[MergeCorpID]])=TRUE,ISBLANK(Table2[[#This Row],[MergeName]])=FALSE))</f>
        <v>0</v>
      </c>
      <c r="H960" s="956">
        <f>IF(ISBLANK(Table2[[#This Row],[MergeCorpID]])=TRUE,0,IF(Table2[[#This Row],[SurvivingEdCorp]]=TRUE,1,2))</f>
        <v>0</v>
      </c>
      <c r="J960" s="1"/>
    </row>
    <row r="961" spans="2:10">
      <c r="B961" s="937" t="s">
        <v>643</v>
      </c>
      <c r="C961" s="940">
        <v>2017</v>
      </c>
      <c r="D961" s="939">
        <v>2018</v>
      </c>
      <c r="E961" s="939">
        <v>516</v>
      </c>
      <c r="F961" s="936" t="s">
        <v>623</v>
      </c>
      <c r="G961" s="953" t="b">
        <f>IF(ISBLANK(Table2[[#This Row],[MergeCorpID]]=TRUE),"",AND(ISNUMBER(Table2[[#This Row],[MergeCorpID]])=TRUE,ISBLANK(Table2[[#This Row],[MergeName]])=FALSE))</f>
        <v>1</v>
      </c>
      <c r="H961" s="954">
        <f>IF(ISBLANK(Table2[[#This Row],[MergeCorpID]])=TRUE,0,IF(Table2[[#This Row],[SurvivingEdCorp]]=TRUE,1,2))</f>
        <v>1</v>
      </c>
      <c r="J961" s="1"/>
    </row>
    <row r="962" spans="2:10">
      <c r="B962" s="938" t="s">
        <v>644</v>
      </c>
      <c r="C962" s="935">
        <v>2017</v>
      </c>
      <c r="D962" s="935">
        <v>2018</v>
      </c>
      <c r="E962" s="941">
        <v>516</v>
      </c>
      <c r="F962" s="934"/>
      <c r="G962" s="955" t="b">
        <f>IF(ISBLANK(Table2[[#This Row],[MergeCorpID]]=TRUE),"",AND(ISNUMBER(Table2[[#This Row],[MergeCorpID]])=TRUE,ISBLANK(Table2[[#This Row],[MergeName]])=FALSE))</f>
        <v>0</v>
      </c>
      <c r="H962" s="956">
        <f>IF(ISBLANK(Table2[[#This Row],[MergeCorpID]])=TRUE,0,IF(Table2[[#This Row],[SurvivingEdCorp]]=TRUE,1,2))</f>
        <v>2</v>
      </c>
      <c r="J962" s="1"/>
    </row>
    <row r="963" spans="2:10">
      <c r="B963" s="937" t="s">
        <v>392</v>
      </c>
      <c r="C963" s="940">
        <v>2010</v>
      </c>
      <c r="D963" s="939">
        <v>2016</v>
      </c>
      <c r="E963" s="939">
        <v>509</v>
      </c>
      <c r="F963" s="936"/>
      <c r="G963" s="953" t="b">
        <f>IF(ISBLANK(Table2[[#This Row],[MergeCorpID]]=TRUE),"",AND(ISNUMBER(Table2[[#This Row],[MergeCorpID]])=TRUE,ISBLANK(Table2[[#This Row],[MergeName]])=FALSE))</f>
        <v>0</v>
      </c>
      <c r="H963" s="954">
        <f>IF(ISBLANK(Table2[[#This Row],[MergeCorpID]])=TRUE,0,IF(Table2[[#This Row],[SurvivingEdCorp]]=TRUE,1,2))</f>
        <v>2</v>
      </c>
      <c r="J963" s="1"/>
    </row>
    <row r="964" spans="2:10">
      <c r="B964" s="938" t="s">
        <v>427</v>
      </c>
      <c r="C964" s="935">
        <v>2002</v>
      </c>
      <c r="D964" s="935">
        <v>2019</v>
      </c>
      <c r="E964" s="941">
        <v>524</v>
      </c>
      <c r="F964" s="934" t="s">
        <v>599</v>
      </c>
      <c r="G964" s="955" t="b">
        <f>IF(ISBLANK(Table2[[#This Row],[MergeCorpID]]=TRUE),"",AND(ISNUMBER(Table2[[#This Row],[MergeCorpID]])=TRUE,ISBLANK(Table2[[#This Row],[MergeName]])=FALSE))</f>
        <v>1</v>
      </c>
      <c r="H964" s="956">
        <f>IF(ISBLANK(Table2[[#This Row],[MergeCorpID]])=TRUE,0,IF(Table2[[#This Row],[SurvivingEdCorp]]=TRUE,1,2))</f>
        <v>1</v>
      </c>
      <c r="J964" s="1"/>
    </row>
    <row r="965" spans="2:10">
      <c r="B965" s="937" t="s">
        <v>600</v>
      </c>
      <c r="C965" s="940">
        <v>2018</v>
      </c>
      <c r="D965" s="939">
        <v>2019</v>
      </c>
      <c r="E965" s="939">
        <v>524</v>
      </c>
      <c r="F965" s="936"/>
      <c r="G965" s="953" t="b">
        <f>IF(ISBLANK(Table2[[#This Row],[MergeCorpID]]=TRUE),"",AND(ISNUMBER(Table2[[#This Row],[MergeCorpID]])=TRUE,ISBLANK(Table2[[#This Row],[MergeName]])=FALSE))</f>
        <v>0</v>
      </c>
      <c r="H965" s="954">
        <f>IF(ISBLANK(Table2[[#This Row],[MergeCorpID]])=TRUE,0,IF(Table2[[#This Row],[SurvivingEdCorp]]=TRUE,1,2))</f>
        <v>2</v>
      </c>
      <c r="J965" s="1"/>
    </row>
    <row r="966" spans="2:10">
      <c r="B966" s="938" t="s">
        <v>1357</v>
      </c>
      <c r="C966" s="935">
        <v>2022</v>
      </c>
      <c r="D966" s="935">
        <v>2023</v>
      </c>
      <c r="E966" s="941">
        <v>524</v>
      </c>
      <c r="F966" s="934"/>
      <c r="G966" s="955" t="b">
        <f>IF(ISBLANK(Table2[[#This Row],[MergeCorpID]]=TRUE),"",AND(ISNUMBER(Table2[[#This Row],[MergeCorpID]])=TRUE,ISBLANK(Table2[[#This Row],[MergeName]])=FALSE))</f>
        <v>0</v>
      </c>
      <c r="H966" s="956">
        <f>IF(ISBLANK(Table2[[#This Row],[MergeCorpID]])=TRUE,0,IF(Table2[[#This Row],[SurvivingEdCorp]]=TRUE,1,2))</f>
        <v>2</v>
      </c>
      <c r="J966" s="1"/>
    </row>
    <row r="967" spans="2:10">
      <c r="B967" s="937" t="s">
        <v>601</v>
      </c>
      <c r="C967" s="940">
        <v>2017</v>
      </c>
      <c r="D967" s="939"/>
      <c r="E967" s="939"/>
      <c r="F967" s="936"/>
      <c r="G967" s="953" t="b">
        <f>IF(ISBLANK(Table2[[#This Row],[MergeCorpID]]=TRUE),"",AND(ISNUMBER(Table2[[#This Row],[MergeCorpID]])=TRUE,ISBLANK(Table2[[#This Row],[MergeName]])=FALSE))</f>
        <v>0</v>
      </c>
      <c r="H967" s="954">
        <f>IF(ISBLANK(Table2[[#This Row],[MergeCorpID]])=TRUE,0,IF(Table2[[#This Row],[SurvivingEdCorp]]=TRUE,1,2))</f>
        <v>0</v>
      </c>
      <c r="J967" s="1"/>
    </row>
    <row r="968" spans="2:10">
      <c r="B968" s="938" t="s">
        <v>602</v>
      </c>
      <c r="C968" s="935">
        <v>2018</v>
      </c>
      <c r="D968" s="935"/>
      <c r="E968" s="941"/>
      <c r="F968" s="934"/>
      <c r="G968" s="955" t="b">
        <f>IF(ISBLANK(Table2[[#This Row],[MergeCorpID]]=TRUE),"",AND(ISNUMBER(Table2[[#This Row],[MergeCorpID]])=TRUE,ISBLANK(Table2[[#This Row],[MergeName]])=FALSE))</f>
        <v>0</v>
      </c>
      <c r="H968" s="956">
        <f>IF(ISBLANK(Table2[[#This Row],[MergeCorpID]])=TRUE,0,IF(Table2[[#This Row],[SurvivingEdCorp]]=TRUE,1,2))</f>
        <v>0</v>
      </c>
      <c r="J968" s="1"/>
    </row>
    <row r="969" spans="2:10">
      <c r="B969" s="937" t="s">
        <v>1358</v>
      </c>
      <c r="C969" s="940">
        <v>2022</v>
      </c>
      <c r="D969" s="939"/>
      <c r="E969" s="939"/>
      <c r="F969" s="936"/>
      <c r="G969" s="953" t="b">
        <f>IF(ISBLANK(Table2[[#This Row],[MergeCorpID]]=TRUE),"",AND(ISNUMBER(Table2[[#This Row],[MergeCorpID]])=TRUE,ISBLANK(Table2[[#This Row],[MergeName]])=FALSE))</f>
        <v>0</v>
      </c>
      <c r="H969" s="954">
        <f>IF(ISBLANK(Table2[[#This Row],[MergeCorpID]])=TRUE,0,IF(Table2[[#This Row],[SurvivingEdCorp]]=TRUE,1,2))</f>
        <v>0</v>
      </c>
      <c r="J969" s="1"/>
    </row>
    <row r="970" spans="2:10">
      <c r="B970" s="937" t="s">
        <v>2060</v>
      </c>
      <c r="C970" s="940">
        <v>2006</v>
      </c>
      <c r="D970" s="939">
        <v>2014</v>
      </c>
      <c r="E970" s="939">
        <v>502</v>
      </c>
      <c r="F970" s="936" t="s">
        <v>2056</v>
      </c>
      <c r="G970" s="955" t="b">
        <f>IF(ISBLANK(Table2[[#This Row],[MergeCorpID]]=TRUE),"",AND(ISNUMBER(Table2[[#This Row],[MergeCorpID]])=TRUE,ISBLANK(Table2[[#This Row],[MergeName]])=FALSE))</f>
        <v>1</v>
      </c>
      <c r="H970" s="956">
        <f>IF(ISBLANK(Table2[[#This Row],[MergeCorpID]])=TRUE,0,IF(Table2[[#This Row],[SurvivingEdCorp]]=TRUE,1,2))</f>
        <v>1</v>
      </c>
      <c r="J970" s="1"/>
    </row>
    <row r="971" spans="2:10">
      <c r="B971" s="938" t="s">
        <v>2061</v>
      </c>
      <c r="C971" s="935">
        <v>2011</v>
      </c>
      <c r="D971" s="935">
        <v>2014</v>
      </c>
      <c r="E971" s="941">
        <v>502</v>
      </c>
      <c r="F971" s="934"/>
      <c r="G971" s="953" t="b">
        <f>IF(ISBLANK(Table2[[#This Row],[MergeCorpID]]=TRUE),"",AND(ISNUMBER(Table2[[#This Row],[MergeCorpID]])=TRUE,ISBLANK(Table2[[#This Row],[MergeName]])=FALSE))</f>
        <v>0</v>
      </c>
      <c r="H971" s="954">
        <f>IF(ISBLANK(Table2[[#This Row],[MergeCorpID]])=TRUE,0,IF(Table2[[#This Row],[SurvivingEdCorp]]=TRUE,1,2))</f>
        <v>2</v>
      </c>
      <c r="J971" s="1"/>
    </row>
    <row r="972" spans="2:10">
      <c r="B972" s="938" t="s">
        <v>2062</v>
      </c>
      <c r="C972" s="935">
        <v>2016</v>
      </c>
      <c r="D972" s="935">
        <v>2015</v>
      </c>
      <c r="E972" s="941">
        <v>502</v>
      </c>
      <c r="F972" s="934"/>
      <c r="G972" s="955" t="b">
        <f>IF(ISBLANK(Table2[[#This Row],[MergeCorpID]]=TRUE),"",AND(ISNUMBER(Table2[[#This Row],[MergeCorpID]])=TRUE,ISBLANK(Table2[[#This Row],[MergeName]])=FALSE))</f>
        <v>0</v>
      </c>
      <c r="H972" s="956">
        <f>IF(ISBLANK(Table2[[#This Row],[MergeCorpID]])=TRUE,0,IF(Table2[[#This Row],[SurvivingEdCorp]]=TRUE,1,2))</f>
        <v>2</v>
      </c>
      <c r="J972" s="1"/>
    </row>
    <row r="973" spans="2:10">
      <c r="B973" s="937" t="s">
        <v>428</v>
      </c>
      <c r="C973" s="940">
        <v>2000</v>
      </c>
      <c r="D973" s="939"/>
      <c r="E973" s="939"/>
      <c r="F973" s="936"/>
      <c r="G973" s="953" t="b">
        <f>IF(ISBLANK(Table2[[#This Row],[MergeCorpID]]=TRUE),"",AND(ISNUMBER(Table2[[#This Row],[MergeCorpID]])=TRUE,ISBLANK(Table2[[#This Row],[MergeName]])=FALSE))</f>
        <v>0</v>
      </c>
      <c r="H973" s="954">
        <f>IF(ISBLANK(Table2[[#This Row],[MergeCorpID]])=TRUE,0,IF(Table2[[#This Row],[SurvivingEdCorp]]=TRUE,1,2))</f>
        <v>0</v>
      </c>
      <c r="J973" s="1"/>
    </row>
    <row r="974" spans="2:10">
      <c r="B974" s="938" t="s">
        <v>660</v>
      </c>
      <c r="C974" s="935">
        <v>1999</v>
      </c>
      <c r="D974" s="935"/>
      <c r="E974" s="941"/>
      <c r="F974" s="934"/>
      <c r="G974" s="955" t="b">
        <f>IF(ISBLANK(Table2[[#This Row],[MergeCorpID]]=TRUE),"",AND(ISNUMBER(Table2[[#This Row],[MergeCorpID]])=TRUE,ISBLANK(Table2[[#This Row],[MergeName]])=FALSE))</f>
        <v>0</v>
      </c>
      <c r="H974" s="956">
        <f>IF(ISBLANK(Table2[[#This Row],[MergeCorpID]])=TRUE,0,IF(Table2[[#This Row],[SurvivingEdCorp]]=TRUE,1,2))</f>
        <v>0</v>
      </c>
      <c r="J974" s="1"/>
    </row>
    <row r="975" spans="2:10">
      <c r="B975" s="937" t="s">
        <v>429</v>
      </c>
      <c r="C975" s="940">
        <v>2000</v>
      </c>
      <c r="D975" s="939"/>
      <c r="E975" s="939"/>
      <c r="F975" s="936"/>
      <c r="G975" s="953" t="b">
        <f>IF(ISBLANK(Table2[[#This Row],[MergeCorpID]]=TRUE),"",AND(ISNUMBER(Table2[[#This Row],[MergeCorpID]])=TRUE,ISBLANK(Table2[[#This Row],[MergeName]])=FALSE))</f>
        <v>0</v>
      </c>
      <c r="H975" s="954">
        <f>IF(ISBLANK(Table2[[#This Row],[MergeCorpID]])=TRUE,0,IF(Table2[[#This Row],[SurvivingEdCorp]]=TRUE,1,2))</f>
        <v>0</v>
      </c>
      <c r="J975" s="1"/>
    </row>
    <row r="976" spans="2:10">
      <c r="B976" s="938" t="s">
        <v>1359</v>
      </c>
      <c r="C976" s="935">
        <v>2022</v>
      </c>
      <c r="D976" s="935"/>
      <c r="E976" s="941"/>
      <c r="F976" s="934"/>
      <c r="G976" s="955" t="b">
        <f>IF(ISBLANK(Table2[[#This Row],[MergeCorpID]]=TRUE),"",AND(ISNUMBER(Table2[[#This Row],[MergeCorpID]])=TRUE,ISBLANK(Table2[[#This Row],[MergeName]])=FALSE))</f>
        <v>0</v>
      </c>
      <c r="H976" s="956">
        <f>IF(ISBLANK(Table2[[#This Row],[MergeCorpID]])=TRUE,0,IF(Table2[[#This Row],[SurvivingEdCorp]]=TRUE,1,2))</f>
        <v>0</v>
      </c>
      <c r="J976" s="1"/>
    </row>
    <row r="977" spans="2:10">
      <c r="B977" s="937" t="s">
        <v>1359</v>
      </c>
      <c r="C977" s="940">
        <v>2023</v>
      </c>
      <c r="D977" s="939"/>
      <c r="E977" s="939"/>
      <c r="F977" s="936"/>
      <c r="G977" s="953" t="b">
        <f>IF(ISBLANK(Table2[[#This Row],[MergeCorpID]]=TRUE),"",AND(ISNUMBER(Table2[[#This Row],[MergeCorpID]])=TRUE,ISBLANK(Table2[[#This Row],[MergeName]])=FALSE))</f>
        <v>0</v>
      </c>
      <c r="H977" s="954">
        <f>IF(ISBLANK(Table2[[#This Row],[MergeCorpID]])=TRUE,0,IF(Table2[[#This Row],[SurvivingEdCorp]]=TRUE,1,2))</f>
        <v>0</v>
      </c>
      <c r="J977" s="1"/>
    </row>
    <row r="978" spans="2:10">
      <c r="B978" s="937" t="s">
        <v>476</v>
      </c>
      <c r="C978" s="940">
        <v>2015</v>
      </c>
      <c r="D978" s="939">
        <v>2020</v>
      </c>
      <c r="E978" s="939">
        <v>529</v>
      </c>
      <c r="F978" s="936" t="s">
        <v>624</v>
      </c>
      <c r="G978" s="955" t="b">
        <f>IF(ISBLANK(Table2[[#This Row],[MergeCorpID]]=TRUE),"",AND(ISNUMBER(Table2[[#This Row],[MergeCorpID]])=TRUE,ISBLANK(Table2[[#This Row],[MergeName]])=FALSE))</f>
        <v>1</v>
      </c>
      <c r="H978" s="956">
        <f>IF(ISBLANK(Table2[[#This Row],[MergeCorpID]])=TRUE,0,IF(Table2[[#This Row],[SurvivingEdCorp]]=TRUE,1,2))</f>
        <v>1</v>
      </c>
      <c r="J978" s="1"/>
    </row>
    <row r="979" spans="2:10">
      <c r="B979" s="938" t="s">
        <v>625</v>
      </c>
      <c r="C979" s="935">
        <v>2019</v>
      </c>
      <c r="D979" s="935">
        <v>2020</v>
      </c>
      <c r="E979" s="941">
        <v>529</v>
      </c>
      <c r="F979" s="934"/>
      <c r="G979" s="953" t="b">
        <f>IF(ISBLANK(Table2[[#This Row],[MergeCorpID]]=TRUE),"",AND(ISNUMBER(Table2[[#This Row],[MergeCorpID]])=TRUE,ISBLANK(Table2[[#This Row],[MergeName]])=FALSE))</f>
        <v>0</v>
      </c>
      <c r="H979" s="954">
        <f>IF(ISBLANK(Table2[[#This Row],[MergeCorpID]])=TRUE,0,IF(Table2[[#This Row],[SurvivingEdCorp]]=TRUE,1,2))</f>
        <v>2</v>
      </c>
      <c r="J979" s="1"/>
    </row>
    <row r="980" spans="2:10">
      <c r="B980" s="937" t="s">
        <v>433</v>
      </c>
      <c r="C980" s="940">
        <v>2011</v>
      </c>
      <c r="D980" s="939">
        <v>2015</v>
      </c>
      <c r="E980" s="939">
        <v>500</v>
      </c>
      <c r="F980" s="936"/>
      <c r="G980" s="955" t="b">
        <f>IF(ISBLANK(Table2[[#This Row],[MergeCorpID]]=TRUE),"",AND(ISNUMBER(Table2[[#This Row],[MergeCorpID]])=TRUE,ISBLANK(Table2[[#This Row],[MergeName]])=FALSE))</f>
        <v>0</v>
      </c>
      <c r="H980" s="956">
        <f>IF(ISBLANK(Table2[[#This Row],[MergeCorpID]])=TRUE,0,IF(Table2[[#This Row],[SurvivingEdCorp]]=TRUE,1,2))</f>
        <v>2</v>
      </c>
      <c r="J980" s="1"/>
    </row>
    <row r="981" spans="2:10">
      <c r="B981" s="938" t="s">
        <v>442</v>
      </c>
      <c r="C981" s="935">
        <v>2012</v>
      </c>
      <c r="D981" s="935">
        <v>2015</v>
      </c>
      <c r="E981" s="941">
        <v>500</v>
      </c>
      <c r="F981" s="934"/>
      <c r="G981" s="953" t="b">
        <f>IF(ISBLANK(Table2[[#This Row],[MergeCorpID]]=TRUE),"",AND(ISNUMBER(Table2[[#This Row],[MergeCorpID]])=TRUE,ISBLANK(Table2[[#This Row],[MergeName]])=FALSE))</f>
        <v>0</v>
      </c>
      <c r="H981" s="954">
        <f>IF(ISBLANK(Table2[[#This Row],[MergeCorpID]])=TRUE,0,IF(Table2[[#This Row],[SurvivingEdCorp]]=TRUE,1,2))</f>
        <v>2</v>
      </c>
      <c r="J981" s="1"/>
    </row>
    <row r="982" spans="2:10">
      <c r="B982" s="937" t="s">
        <v>528</v>
      </c>
      <c r="C982" s="940">
        <v>2016</v>
      </c>
      <c r="D982" s="939">
        <v>2017</v>
      </c>
      <c r="E982" s="939">
        <v>500</v>
      </c>
      <c r="F982" s="936"/>
      <c r="G982" s="955" t="b">
        <f>IF(ISBLANK(Table2[[#This Row],[MergeCorpID]]=TRUE),"",AND(ISNUMBER(Table2[[#This Row],[MergeCorpID]])=TRUE,ISBLANK(Table2[[#This Row],[MergeName]])=FALSE))</f>
        <v>0</v>
      </c>
      <c r="H982" s="956">
        <f>IF(ISBLANK(Table2[[#This Row],[MergeCorpID]])=TRUE,0,IF(Table2[[#This Row],[SurvivingEdCorp]]=TRUE,1,2))</f>
        <v>2</v>
      </c>
      <c r="J982" s="1"/>
    </row>
    <row r="983" spans="2:10">
      <c r="B983" s="938" t="s">
        <v>468</v>
      </c>
      <c r="C983" s="935">
        <v>2014</v>
      </c>
      <c r="D983" s="935">
        <v>2015</v>
      </c>
      <c r="E983" s="941">
        <v>500</v>
      </c>
      <c r="F983" s="934"/>
      <c r="G983" s="953" t="b">
        <f>IF(ISBLANK(Table2[[#This Row],[MergeCorpID]]=TRUE),"",AND(ISNUMBER(Table2[[#This Row],[MergeCorpID]])=TRUE,ISBLANK(Table2[[#This Row],[MergeName]])=FALSE))</f>
        <v>0</v>
      </c>
      <c r="H983" s="954">
        <f>IF(ISBLANK(Table2[[#This Row],[MergeCorpID]])=TRUE,0,IF(Table2[[#This Row],[SurvivingEdCorp]]=TRUE,1,2))</f>
        <v>2</v>
      </c>
      <c r="J983" s="1"/>
    </row>
    <row r="984" spans="2:10">
      <c r="B984" s="937" t="s">
        <v>469</v>
      </c>
      <c r="C984" s="940">
        <v>2014</v>
      </c>
      <c r="D984" s="939">
        <v>2015</v>
      </c>
      <c r="E984" s="939">
        <v>500</v>
      </c>
      <c r="F984" s="936"/>
      <c r="G984" s="955" t="b">
        <f>IF(ISBLANK(Table2[[#This Row],[MergeCorpID]]=TRUE),"",AND(ISNUMBER(Table2[[#This Row],[MergeCorpID]])=TRUE,ISBLANK(Table2[[#This Row],[MergeName]])=FALSE))</f>
        <v>0</v>
      </c>
      <c r="H984" s="956">
        <f>IF(ISBLANK(Table2[[#This Row],[MergeCorpID]])=TRUE,0,IF(Table2[[#This Row],[SurvivingEdCorp]]=TRUE,1,2))</f>
        <v>2</v>
      </c>
      <c r="J984" s="1"/>
    </row>
    <row r="985" spans="2:10">
      <c r="B985" s="938" t="s">
        <v>410</v>
      </c>
      <c r="C985" s="935">
        <v>2010</v>
      </c>
      <c r="D985" s="935">
        <v>2015</v>
      </c>
      <c r="E985" s="941">
        <v>500</v>
      </c>
      <c r="F985" s="934"/>
      <c r="G985" s="953" t="b">
        <f>IF(ISBLANK(Table2[[#This Row],[MergeCorpID]]=TRUE),"",AND(ISNUMBER(Table2[[#This Row],[MergeCorpID]])=TRUE,ISBLANK(Table2[[#This Row],[MergeName]])=FALSE))</f>
        <v>0</v>
      </c>
      <c r="H985" s="954">
        <f>IF(ISBLANK(Table2[[#This Row],[MergeCorpID]])=TRUE,0,IF(Table2[[#This Row],[SurvivingEdCorp]]=TRUE,1,2))</f>
        <v>2</v>
      </c>
      <c r="J985" s="1"/>
    </row>
    <row r="986" spans="2:10">
      <c r="B986" s="937" t="s">
        <v>409</v>
      </c>
      <c r="C986" s="940">
        <v>2010</v>
      </c>
      <c r="D986" s="939">
        <v>2015</v>
      </c>
      <c r="E986" s="939">
        <v>500</v>
      </c>
      <c r="F986" s="936"/>
      <c r="G986" s="955" t="b">
        <f>IF(ISBLANK(Table2[[#This Row],[MergeCorpID]]=TRUE),"",AND(ISNUMBER(Table2[[#This Row],[MergeCorpID]])=TRUE,ISBLANK(Table2[[#This Row],[MergeName]])=FALSE))</f>
        <v>0</v>
      </c>
      <c r="H986" s="956">
        <f>IF(ISBLANK(Table2[[#This Row],[MergeCorpID]])=TRUE,0,IF(Table2[[#This Row],[SurvivingEdCorp]]=TRUE,1,2))</f>
        <v>2</v>
      </c>
      <c r="J986" s="1"/>
    </row>
    <row r="987" spans="2:10">
      <c r="B987" s="938" t="s">
        <v>459</v>
      </c>
      <c r="C987" s="935">
        <v>2013</v>
      </c>
      <c r="D987" s="935">
        <v>2013</v>
      </c>
      <c r="E987" s="941">
        <v>500</v>
      </c>
      <c r="F987" s="934"/>
      <c r="G987" s="953" t="b">
        <f>IF(ISBLANK(Table2[[#This Row],[MergeCorpID]]=TRUE),"",AND(ISNUMBER(Table2[[#This Row],[MergeCorpID]])=TRUE,ISBLANK(Table2[[#This Row],[MergeName]])=FALSE))</f>
        <v>0</v>
      </c>
      <c r="H987" s="954">
        <f>IF(ISBLANK(Table2[[#This Row],[MergeCorpID]])=TRUE,0,IF(Table2[[#This Row],[SurvivingEdCorp]]=TRUE,1,2))</f>
        <v>2</v>
      </c>
      <c r="J987" s="1"/>
    </row>
    <row r="988" spans="2:10">
      <c r="B988" s="937" t="s">
        <v>467</v>
      </c>
      <c r="C988" s="940">
        <v>2014</v>
      </c>
      <c r="D988" s="939">
        <v>2015</v>
      </c>
      <c r="E988" s="939">
        <v>500</v>
      </c>
      <c r="F988" s="936"/>
      <c r="G988" s="955" t="b">
        <f>IF(ISBLANK(Table2[[#This Row],[MergeCorpID]]=TRUE),"",AND(ISNUMBER(Table2[[#This Row],[MergeCorpID]])=TRUE,ISBLANK(Table2[[#This Row],[MergeName]])=FALSE))</f>
        <v>0</v>
      </c>
      <c r="H988" s="956">
        <f>IF(ISBLANK(Table2[[#This Row],[MergeCorpID]])=TRUE,0,IF(Table2[[#This Row],[SurvivingEdCorp]]=TRUE,1,2))</f>
        <v>2</v>
      </c>
      <c r="J988" s="1"/>
    </row>
    <row r="989" spans="2:10">
      <c r="B989" s="938" t="s">
        <v>529</v>
      </c>
      <c r="C989" s="935">
        <v>2016</v>
      </c>
      <c r="D989" s="935">
        <v>2017</v>
      </c>
      <c r="E989" s="941">
        <v>500</v>
      </c>
      <c r="F989" s="934"/>
      <c r="G989" s="953" t="b">
        <f>IF(ISBLANK(Table2[[#This Row],[MergeCorpID]]=TRUE),"",AND(ISNUMBER(Table2[[#This Row],[MergeCorpID]])=TRUE,ISBLANK(Table2[[#This Row],[MergeName]])=FALSE))</f>
        <v>0</v>
      </c>
      <c r="H989" s="954">
        <f>IF(ISBLANK(Table2[[#This Row],[MergeCorpID]])=TRUE,0,IF(Table2[[#This Row],[SurvivingEdCorp]]=TRUE,1,2))</f>
        <v>2</v>
      </c>
      <c r="J989" s="1"/>
    </row>
    <row r="990" spans="2:10">
      <c r="B990" s="937" t="s">
        <v>443</v>
      </c>
      <c r="C990" s="940">
        <v>2012</v>
      </c>
      <c r="D990" s="939">
        <v>2015</v>
      </c>
      <c r="E990" s="939">
        <v>500</v>
      </c>
      <c r="F990" s="936"/>
      <c r="G990" s="955" t="b">
        <f>IF(ISBLANK(Table2[[#This Row],[MergeCorpID]]=TRUE),"",AND(ISNUMBER(Table2[[#This Row],[MergeCorpID]])=TRUE,ISBLANK(Table2[[#This Row],[MergeName]])=FALSE))</f>
        <v>0</v>
      </c>
      <c r="H990" s="956">
        <f>IF(ISBLANK(Table2[[#This Row],[MergeCorpID]])=TRUE,0,IF(Table2[[#This Row],[SurvivingEdCorp]]=TRUE,1,2))</f>
        <v>2</v>
      </c>
      <c r="J990" s="1"/>
    </row>
    <row r="991" spans="2:10">
      <c r="B991" s="938" t="s">
        <v>456</v>
      </c>
      <c r="C991" s="935">
        <v>2013</v>
      </c>
      <c r="D991" s="935">
        <v>2013</v>
      </c>
      <c r="E991" s="941">
        <v>500</v>
      </c>
      <c r="F991" s="934"/>
      <c r="G991" s="953" t="b">
        <f>IF(ISBLANK(Table2[[#This Row],[MergeCorpID]]=TRUE),"",AND(ISNUMBER(Table2[[#This Row],[MergeCorpID]])=TRUE,ISBLANK(Table2[[#This Row],[MergeName]])=FALSE))</f>
        <v>0</v>
      </c>
      <c r="H991" s="954">
        <f>IF(ISBLANK(Table2[[#This Row],[MergeCorpID]])=TRUE,0,IF(Table2[[#This Row],[SurvivingEdCorp]]=TRUE,1,2))</f>
        <v>2</v>
      </c>
      <c r="J991" s="1"/>
    </row>
    <row r="992" spans="2:10">
      <c r="B992" s="937" t="s">
        <v>530</v>
      </c>
      <c r="C992" s="940">
        <v>2016</v>
      </c>
      <c r="D992" s="939">
        <v>2017</v>
      </c>
      <c r="E992" s="939">
        <v>500</v>
      </c>
      <c r="F992" s="936"/>
      <c r="G992" s="955" t="b">
        <f>IF(ISBLANK(Table2[[#This Row],[MergeCorpID]]=TRUE),"",AND(ISNUMBER(Table2[[#This Row],[MergeCorpID]])=TRUE,ISBLANK(Table2[[#This Row],[MergeName]])=FALSE))</f>
        <v>0</v>
      </c>
      <c r="H992" s="956">
        <f>IF(ISBLANK(Table2[[#This Row],[MergeCorpID]])=TRUE,0,IF(Table2[[#This Row],[SurvivingEdCorp]]=TRUE,1,2))</f>
        <v>2</v>
      </c>
      <c r="J992" s="1"/>
    </row>
    <row r="993" spans="2:10">
      <c r="B993" s="938" t="s">
        <v>531</v>
      </c>
      <c r="C993" s="935">
        <v>2016</v>
      </c>
      <c r="D993" s="935">
        <v>2017</v>
      </c>
      <c r="E993" s="941">
        <v>500</v>
      </c>
      <c r="F993" s="934"/>
      <c r="G993" s="953" t="b">
        <f>IF(ISBLANK(Table2[[#This Row],[MergeCorpID]]=TRUE),"",AND(ISNUMBER(Table2[[#This Row],[MergeCorpID]])=TRUE,ISBLANK(Table2[[#This Row],[MergeName]])=FALSE))</f>
        <v>0</v>
      </c>
      <c r="H993" s="954">
        <f>IF(ISBLANK(Table2[[#This Row],[MergeCorpID]])=TRUE,0,IF(Table2[[#This Row],[SurvivingEdCorp]]=TRUE,1,2))</f>
        <v>2</v>
      </c>
      <c r="J993" s="1"/>
    </row>
    <row r="994" spans="2:10">
      <c r="B994" s="937" t="s">
        <v>454</v>
      </c>
      <c r="C994" s="940">
        <v>2013</v>
      </c>
      <c r="D994" s="939">
        <v>2013</v>
      </c>
      <c r="E994" s="939">
        <v>500</v>
      </c>
      <c r="F994" s="936"/>
      <c r="G994" s="955" t="b">
        <f>IF(ISBLANK(Table2[[#This Row],[MergeCorpID]]=TRUE),"",AND(ISNUMBER(Table2[[#This Row],[MergeCorpID]])=TRUE,ISBLANK(Table2[[#This Row],[MergeName]])=FALSE))</f>
        <v>0</v>
      </c>
      <c r="H994" s="956">
        <f>IF(ISBLANK(Table2[[#This Row],[MergeCorpID]])=TRUE,0,IF(Table2[[#This Row],[SurvivingEdCorp]]=TRUE,1,2))</f>
        <v>2</v>
      </c>
      <c r="J994" s="1"/>
    </row>
    <row r="995" spans="2:10">
      <c r="B995" s="938" t="s">
        <v>472</v>
      </c>
      <c r="C995" s="935">
        <v>2006</v>
      </c>
      <c r="D995" s="935">
        <v>2013</v>
      </c>
      <c r="E995" s="941">
        <v>500</v>
      </c>
      <c r="F995" s="934"/>
      <c r="G995" s="953" t="b">
        <f>IF(ISBLANK(Table2[[#This Row],[MergeCorpID]]=TRUE),"",AND(ISNUMBER(Table2[[#This Row],[MergeCorpID]])=TRUE,ISBLANK(Table2[[#This Row],[MergeName]])=FALSE))</f>
        <v>0</v>
      </c>
      <c r="H995" s="954">
        <f>IF(ISBLANK(Table2[[#This Row],[MergeCorpID]])=TRUE,0,IF(Table2[[#This Row],[SurvivingEdCorp]]=TRUE,1,2))</f>
        <v>2</v>
      </c>
      <c r="J995" s="1"/>
    </row>
    <row r="996" spans="2:10">
      <c r="B996" s="937" t="s">
        <v>405</v>
      </c>
      <c r="C996" s="940">
        <v>2008</v>
      </c>
      <c r="D996" s="939">
        <v>2013</v>
      </c>
      <c r="E996" s="939">
        <v>500</v>
      </c>
      <c r="F996" s="936"/>
      <c r="G996" s="955" t="b">
        <f>IF(ISBLANK(Table2[[#This Row],[MergeCorpID]]=TRUE),"",AND(ISNUMBER(Table2[[#This Row],[MergeCorpID]])=TRUE,ISBLANK(Table2[[#This Row],[MergeName]])=FALSE))</f>
        <v>0</v>
      </c>
      <c r="H996" s="956">
        <f>IF(ISBLANK(Table2[[#This Row],[MergeCorpID]])=TRUE,0,IF(Table2[[#This Row],[SurvivingEdCorp]]=TRUE,1,2))</f>
        <v>2</v>
      </c>
      <c r="J996" s="1"/>
    </row>
    <row r="997" spans="2:10">
      <c r="B997" s="938" t="s">
        <v>406</v>
      </c>
      <c r="C997" s="935">
        <v>2008</v>
      </c>
      <c r="D997" s="935">
        <v>2013</v>
      </c>
      <c r="E997" s="941">
        <v>500</v>
      </c>
      <c r="F997" s="934" t="s">
        <v>603</v>
      </c>
      <c r="G997" s="953" t="b">
        <f>IF(ISBLANK(Table2[[#This Row],[MergeCorpID]]=TRUE),"",AND(ISNUMBER(Table2[[#This Row],[MergeCorpID]])=TRUE,ISBLANK(Table2[[#This Row],[MergeName]])=FALSE))</f>
        <v>1</v>
      </c>
      <c r="H997" s="954">
        <f>IF(ISBLANK(Table2[[#This Row],[MergeCorpID]])=TRUE,0,IF(Table2[[#This Row],[SurvivingEdCorp]]=TRUE,1,2))</f>
        <v>1</v>
      </c>
      <c r="J997" s="1"/>
    </row>
    <row r="998" spans="2:10">
      <c r="B998" s="937" t="s">
        <v>407</v>
      </c>
      <c r="C998" s="940">
        <v>2008</v>
      </c>
      <c r="D998" s="939">
        <v>2013</v>
      </c>
      <c r="E998" s="939">
        <v>500</v>
      </c>
      <c r="F998" s="936"/>
      <c r="G998" s="955" t="b">
        <f>IF(ISBLANK(Table2[[#This Row],[MergeCorpID]]=TRUE),"",AND(ISNUMBER(Table2[[#This Row],[MergeCorpID]])=TRUE,ISBLANK(Table2[[#This Row],[MergeName]])=FALSE))</f>
        <v>0</v>
      </c>
      <c r="H998" s="956">
        <f>IF(ISBLANK(Table2[[#This Row],[MergeCorpID]])=TRUE,0,IF(Table2[[#This Row],[SurvivingEdCorp]]=TRUE,1,2))</f>
        <v>2</v>
      </c>
      <c r="J998" s="1"/>
    </row>
    <row r="999" spans="2:10">
      <c r="B999" s="938" t="s">
        <v>408</v>
      </c>
      <c r="C999" s="935">
        <v>2010</v>
      </c>
      <c r="D999" s="935">
        <v>2013</v>
      </c>
      <c r="E999" s="941">
        <v>500</v>
      </c>
      <c r="F999" s="934"/>
      <c r="G999" s="953" t="b">
        <f>IF(ISBLANK(Table2[[#This Row],[MergeCorpID]]=TRUE),"",AND(ISNUMBER(Table2[[#This Row],[MergeCorpID]])=TRUE,ISBLANK(Table2[[#This Row],[MergeName]])=FALSE))</f>
        <v>0</v>
      </c>
      <c r="H999" s="954">
        <f>IF(ISBLANK(Table2[[#This Row],[MergeCorpID]])=TRUE,0,IF(Table2[[#This Row],[SurvivingEdCorp]]=TRUE,1,2))</f>
        <v>2</v>
      </c>
      <c r="J999" s="1"/>
    </row>
    <row r="1000" spans="2:10">
      <c r="B1000" s="937" t="s">
        <v>535</v>
      </c>
      <c r="C1000" s="940">
        <v>2017</v>
      </c>
      <c r="D1000" s="939">
        <v>2018</v>
      </c>
      <c r="E1000" s="939">
        <v>500</v>
      </c>
      <c r="F1000" s="936"/>
      <c r="G1000" s="955" t="b">
        <f>IF(ISBLANK(Table2[[#This Row],[MergeCorpID]]=TRUE),"",AND(ISNUMBER(Table2[[#This Row],[MergeCorpID]])=TRUE,ISBLANK(Table2[[#This Row],[MergeName]])=FALSE))</f>
        <v>0</v>
      </c>
      <c r="H1000" s="956">
        <f>IF(ISBLANK(Table2[[#This Row],[MergeCorpID]])=TRUE,0,IF(Table2[[#This Row],[SurvivingEdCorp]]=TRUE,1,2))</f>
        <v>2</v>
      </c>
      <c r="J1000" s="1"/>
    </row>
    <row r="1001" spans="2:10">
      <c r="B1001" s="938" t="s">
        <v>457</v>
      </c>
      <c r="C1001" s="935">
        <v>2013</v>
      </c>
      <c r="D1001" s="935">
        <v>2013</v>
      </c>
      <c r="E1001" s="941">
        <v>500</v>
      </c>
      <c r="F1001" s="934"/>
      <c r="G1001" s="953" t="b">
        <f>IF(ISBLANK(Table2[[#This Row],[MergeCorpID]]=TRUE),"",AND(ISNUMBER(Table2[[#This Row],[MergeCorpID]])=TRUE,ISBLANK(Table2[[#This Row],[MergeName]])=FALSE))</f>
        <v>0</v>
      </c>
      <c r="H1001" s="954">
        <f>IF(ISBLANK(Table2[[#This Row],[MergeCorpID]])=TRUE,0,IF(Table2[[#This Row],[SurvivingEdCorp]]=TRUE,1,2))</f>
        <v>2</v>
      </c>
      <c r="J1001" s="1"/>
    </row>
    <row r="1002" spans="2:10">
      <c r="B1002" s="937" t="s">
        <v>534</v>
      </c>
      <c r="C1002" s="940">
        <v>2017</v>
      </c>
      <c r="D1002" s="939">
        <v>2018</v>
      </c>
      <c r="E1002" s="939">
        <v>500</v>
      </c>
      <c r="F1002" s="936"/>
      <c r="G1002" s="955" t="b">
        <f>IF(ISBLANK(Table2[[#This Row],[MergeCorpID]]=TRUE),"",AND(ISNUMBER(Table2[[#This Row],[MergeCorpID]])=TRUE,ISBLANK(Table2[[#This Row],[MergeName]])=FALSE))</f>
        <v>0</v>
      </c>
      <c r="H1002" s="956">
        <f>IF(ISBLANK(Table2[[#This Row],[MergeCorpID]])=TRUE,0,IF(Table2[[#This Row],[SurvivingEdCorp]]=TRUE,1,2))</f>
        <v>2</v>
      </c>
      <c r="J1002" s="1"/>
    </row>
    <row r="1003" spans="2:10">
      <c r="B1003" s="937" t="s">
        <v>1361</v>
      </c>
      <c r="C1003" s="940">
        <v>2022</v>
      </c>
      <c r="D1003" s="939">
        <v>2023</v>
      </c>
      <c r="E1003" s="939">
        <v>500</v>
      </c>
      <c r="F1003" s="936"/>
      <c r="G1003" s="953" t="b">
        <f>IF(ISBLANK(Table2[[#This Row],[MergeCorpID]]=TRUE),"",AND(ISNUMBER(Table2[[#This Row],[MergeCorpID]])=TRUE,ISBLANK(Table2[[#This Row],[MergeName]])=FALSE))</f>
        <v>0</v>
      </c>
      <c r="H1003" s="954">
        <f>IF(ISBLANK(Table2[[#This Row],[MergeCorpID]])=TRUE,0,IF(Table2[[#This Row],[SurvivingEdCorp]]=TRUE,1,2))</f>
        <v>2</v>
      </c>
      <c r="J1003" s="1"/>
    </row>
    <row r="1004" spans="2:10">
      <c r="B1004" s="938" t="s">
        <v>1360</v>
      </c>
      <c r="C1004" s="935">
        <v>2022</v>
      </c>
      <c r="D1004" s="935">
        <v>2023</v>
      </c>
      <c r="E1004" s="941">
        <v>500</v>
      </c>
      <c r="F1004" s="934"/>
      <c r="G1004" s="955" t="b">
        <f>IF(ISBLANK(Table2[[#This Row],[MergeCorpID]]=TRUE),"",AND(ISNUMBER(Table2[[#This Row],[MergeCorpID]])=TRUE,ISBLANK(Table2[[#This Row],[MergeName]])=FALSE))</f>
        <v>0</v>
      </c>
      <c r="H1004" s="956">
        <f>IF(ISBLANK(Table2[[#This Row],[MergeCorpID]])=TRUE,0,IF(Table2[[#This Row],[SurvivingEdCorp]]=TRUE,1,2))</f>
        <v>2</v>
      </c>
      <c r="J1004" s="1"/>
    </row>
    <row r="1005" spans="2:10">
      <c r="B1005" s="938" t="s">
        <v>455</v>
      </c>
      <c r="C1005" s="935">
        <v>2013</v>
      </c>
      <c r="D1005" s="935">
        <v>2013</v>
      </c>
      <c r="E1005" s="941">
        <v>500</v>
      </c>
      <c r="F1005" s="934"/>
      <c r="G1005" s="953" t="b">
        <f>IF(ISBLANK(Table2[[#This Row],[MergeCorpID]]=TRUE),"",AND(ISNUMBER(Table2[[#This Row],[MergeCorpID]])=TRUE,ISBLANK(Table2[[#This Row],[MergeName]])=FALSE))</f>
        <v>0</v>
      </c>
      <c r="H1005" s="954">
        <f>IF(ISBLANK(Table2[[#This Row],[MergeCorpID]])=TRUE,0,IF(Table2[[#This Row],[SurvivingEdCorp]]=TRUE,1,2))</f>
        <v>2</v>
      </c>
      <c r="J1005" s="1"/>
    </row>
    <row r="1006" spans="2:10">
      <c r="B1006" s="937" t="s">
        <v>470</v>
      </c>
      <c r="C1006" s="940">
        <v>2014</v>
      </c>
      <c r="D1006" s="939">
        <v>2015</v>
      </c>
      <c r="E1006" s="939">
        <v>500</v>
      </c>
      <c r="F1006" s="936"/>
      <c r="G1006" s="955" t="b">
        <f>IF(ISBLANK(Table2[[#This Row],[MergeCorpID]]=TRUE),"",AND(ISNUMBER(Table2[[#This Row],[MergeCorpID]])=TRUE,ISBLANK(Table2[[#This Row],[MergeName]])=FALSE))</f>
        <v>0</v>
      </c>
      <c r="H1006" s="956">
        <f>IF(ISBLANK(Table2[[#This Row],[MergeCorpID]])=TRUE,0,IF(Table2[[#This Row],[SurvivingEdCorp]]=TRUE,1,2))</f>
        <v>2</v>
      </c>
      <c r="J1006" s="1"/>
    </row>
    <row r="1007" spans="2:10">
      <c r="B1007" s="938" t="s">
        <v>532</v>
      </c>
      <c r="C1007" s="935">
        <v>2016</v>
      </c>
      <c r="D1007" s="935">
        <v>2017</v>
      </c>
      <c r="E1007" s="941">
        <v>500</v>
      </c>
      <c r="F1007" s="934"/>
      <c r="G1007" s="953" t="b">
        <f>IF(ISBLANK(Table2[[#This Row],[MergeCorpID]]=TRUE),"",AND(ISNUMBER(Table2[[#This Row],[MergeCorpID]])=TRUE,ISBLANK(Table2[[#This Row],[MergeName]])=FALSE))</f>
        <v>0</v>
      </c>
      <c r="H1007" s="954">
        <f>IF(ISBLANK(Table2[[#This Row],[MergeCorpID]])=TRUE,0,IF(Table2[[#This Row],[SurvivingEdCorp]]=TRUE,1,2))</f>
        <v>2</v>
      </c>
      <c r="J1007" s="1"/>
    </row>
    <row r="1008" spans="2:10">
      <c r="B1008" s="937" t="s">
        <v>471</v>
      </c>
      <c r="C1008" s="940">
        <v>2014</v>
      </c>
      <c r="D1008" s="939">
        <v>2015</v>
      </c>
      <c r="E1008" s="939">
        <v>500</v>
      </c>
      <c r="F1008" s="936"/>
      <c r="G1008" s="955" t="b">
        <f>IF(ISBLANK(Table2[[#This Row],[MergeCorpID]]=TRUE),"",AND(ISNUMBER(Table2[[#This Row],[MergeCorpID]])=TRUE,ISBLANK(Table2[[#This Row],[MergeName]])=FALSE))</f>
        <v>0</v>
      </c>
      <c r="H1008" s="956">
        <f>IF(ISBLANK(Table2[[#This Row],[MergeCorpID]])=TRUE,0,IF(Table2[[#This Row],[SurvivingEdCorp]]=TRUE,1,2))</f>
        <v>2</v>
      </c>
      <c r="J1008" s="1"/>
    </row>
    <row r="1009" spans="2:10">
      <c r="B1009" s="938" t="s">
        <v>458</v>
      </c>
      <c r="C1009" s="935">
        <v>2013</v>
      </c>
      <c r="D1009" s="935">
        <v>2013</v>
      </c>
      <c r="E1009" s="941">
        <v>500</v>
      </c>
      <c r="F1009" s="934"/>
      <c r="G1009" s="953" t="b">
        <f>IF(ISBLANK(Table2[[#This Row],[MergeCorpID]]=TRUE),"",AND(ISNUMBER(Table2[[#This Row],[MergeCorpID]])=TRUE,ISBLANK(Table2[[#This Row],[MergeName]])=FALSE))</f>
        <v>0</v>
      </c>
      <c r="H1009" s="954">
        <f>IF(ISBLANK(Table2[[#This Row],[MergeCorpID]])=TRUE,0,IF(Table2[[#This Row],[SurvivingEdCorp]]=TRUE,1,2))</f>
        <v>2</v>
      </c>
      <c r="J1009" s="1"/>
    </row>
    <row r="1010" spans="2:10">
      <c r="B1010" s="937" t="s">
        <v>439</v>
      </c>
      <c r="C1010" s="940">
        <v>2011</v>
      </c>
      <c r="D1010" s="939">
        <v>2015</v>
      </c>
      <c r="E1010" s="939">
        <v>500</v>
      </c>
      <c r="F1010" s="936"/>
      <c r="G1010" s="955" t="b">
        <f>IF(ISBLANK(Table2[[#This Row],[MergeCorpID]]=TRUE),"",AND(ISNUMBER(Table2[[#This Row],[MergeCorpID]])=TRUE,ISBLANK(Table2[[#This Row],[MergeName]])=FALSE))</f>
        <v>0</v>
      </c>
      <c r="H1010" s="956">
        <f>IF(ISBLANK(Table2[[#This Row],[MergeCorpID]])=TRUE,0,IF(Table2[[#This Row],[SurvivingEdCorp]]=TRUE,1,2))</f>
        <v>2</v>
      </c>
      <c r="J1010" s="1"/>
    </row>
    <row r="1011" spans="2:10">
      <c r="B1011" s="938" t="s">
        <v>466</v>
      </c>
      <c r="C1011" s="935">
        <v>2014</v>
      </c>
      <c r="D1011" s="935">
        <v>2015</v>
      </c>
      <c r="E1011" s="941">
        <v>500</v>
      </c>
      <c r="F1011" s="934"/>
      <c r="G1011" s="953" t="b">
        <f>IF(ISBLANK(Table2[[#This Row],[MergeCorpID]]=TRUE),"",AND(ISNUMBER(Table2[[#This Row],[MergeCorpID]])=TRUE,ISBLANK(Table2[[#This Row],[MergeName]])=FALSE))</f>
        <v>0</v>
      </c>
      <c r="H1011" s="954">
        <f>IF(ISBLANK(Table2[[#This Row],[MergeCorpID]])=TRUE,0,IF(Table2[[#This Row],[SurvivingEdCorp]]=TRUE,1,2))</f>
        <v>2</v>
      </c>
      <c r="J1011" s="1"/>
    </row>
    <row r="1012" spans="2:10">
      <c r="B1012" s="937" t="s">
        <v>444</v>
      </c>
      <c r="C1012" s="940">
        <v>2012</v>
      </c>
      <c r="D1012" s="939">
        <v>2015</v>
      </c>
      <c r="E1012" s="939">
        <v>500</v>
      </c>
      <c r="F1012" s="936"/>
      <c r="G1012" s="955" t="b">
        <f>IF(ISBLANK(Table2[[#This Row],[MergeCorpID]]=TRUE),"",AND(ISNUMBER(Table2[[#This Row],[MergeCorpID]])=TRUE,ISBLANK(Table2[[#This Row],[MergeName]])=FALSE))</f>
        <v>0</v>
      </c>
      <c r="H1012" s="956">
        <f>IF(ISBLANK(Table2[[#This Row],[MergeCorpID]])=TRUE,0,IF(Table2[[#This Row],[SurvivingEdCorp]]=TRUE,1,2))</f>
        <v>2</v>
      </c>
    </row>
    <row r="1013" spans="2:10">
      <c r="B1013" s="938" t="s">
        <v>430</v>
      </c>
      <c r="C1013" s="935">
        <v>2001</v>
      </c>
      <c r="D1013" s="935"/>
      <c r="E1013" s="941"/>
      <c r="F1013" s="934"/>
      <c r="G1013" s="953" t="b">
        <f>IF(ISBLANK(Table2[[#This Row],[MergeCorpID]]=TRUE),"",AND(ISNUMBER(Table2[[#This Row],[MergeCorpID]])=TRUE,ISBLANK(Table2[[#This Row],[MergeName]])=FALSE))</f>
        <v>0</v>
      </c>
      <c r="H1013" s="954">
        <f>IF(ISBLANK(Table2[[#This Row],[MergeCorpID]])=TRUE,0,IF(Table2[[#This Row],[SurvivingEdCorp]]=TRUE,1,2))</f>
        <v>0</v>
      </c>
    </row>
    <row r="1014" spans="2:10">
      <c r="B1014" s="937" t="s">
        <v>626</v>
      </c>
      <c r="C1014" s="940">
        <v>2019</v>
      </c>
      <c r="D1014" s="939"/>
      <c r="E1014" s="939"/>
      <c r="F1014" s="936"/>
      <c r="G1014" s="955" t="b">
        <f>IF(ISBLANK(Table2[[#This Row],[MergeCorpID]]=TRUE),"",AND(ISNUMBER(Table2[[#This Row],[MergeCorpID]])=TRUE,ISBLANK(Table2[[#This Row],[MergeName]])=FALSE))</f>
        <v>0</v>
      </c>
      <c r="H1014" s="956">
        <f>IF(ISBLANK(Table2[[#This Row],[MergeCorpID]])=TRUE,0,IF(Table2[[#This Row],[SurvivingEdCorp]]=TRUE,1,2))</f>
        <v>0</v>
      </c>
    </row>
    <row r="1015" spans="2:10">
      <c r="B1015" s="937" t="s">
        <v>2055</v>
      </c>
      <c r="C1015" s="940">
        <v>2024</v>
      </c>
      <c r="D1015" s="939">
        <v>2016</v>
      </c>
      <c r="E1015" s="939">
        <v>509</v>
      </c>
      <c r="F1015" s="936"/>
      <c r="G1015" s="955" t="b">
        <f>IF(ISBLANK(Table2[[#This Row],[MergeCorpID]]=TRUE),"",AND(ISNUMBER(Table2[[#This Row],[MergeCorpID]])=TRUE,ISBLANK(Table2[[#This Row],[MergeName]])=FALSE))</f>
        <v>0</v>
      </c>
      <c r="H1015" s="956">
        <f>IF(ISBLANK(Table2[[#This Row],[MergeCorpID]])=TRUE,0,IF(Table2[[#This Row],[SurvivingEdCorp]]=TRUE,1,2))</f>
        <v>2</v>
      </c>
    </row>
    <row r="1016" spans="2:10">
      <c r="B1016" s="938" t="s">
        <v>401</v>
      </c>
      <c r="C1016" s="935">
        <v>2008</v>
      </c>
      <c r="D1016" s="935">
        <v>2020</v>
      </c>
      <c r="E1016" s="941">
        <v>528</v>
      </c>
      <c r="F1016" s="934" t="s">
        <v>627</v>
      </c>
      <c r="G1016" s="953" t="b">
        <f>IF(ISBLANK(Table2[[#This Row],[MergeCorpID]]=TRUE),"",AND(ISNUMBER(Table2[[#This Row],[MergeCorpID]])=TRUE,ISBLANK(Table2[[#This Row],[MergeName]])=FALSE))</f>
        <v>1</v>
      </c>
      <c r="H1016" s="954">
        <f>IF(ISBLANK(Table2[[#This Row],[MergeCorpID]])=TRUE,0,IF(Table2[[#This Row],[SurvivingEdCorp]]=TRUE,1,2))</f>
        <v>1</v>
      </c>
    </row>
    <row r="1017" spans="2:10">
      <c r="B1017" s="937" t="s">
        <v>628</v>
      </c>
      <c r="C1017" s="940">
        <v>2019</v>
      </c>
      <c r="D1017" s="939">
        <v>2020</v>
      </c>
      <c r="E1017" s="939">
        <v>528</v>
      </c>
      <c r="F1017" s="936"/>
      <c r="G1017" s="955" t="b">
        <f>IF(ISBLANK(Table2[[#This Row],[MergeCorpID]]=TRUE),"",AND(ISNUMBER(Table2[[#This Row],[MergeCorpID]])=TRUE,ISBLANK(Table2[[#This Row],[MergeName]])=FALSE))</f>
        <v>0</v>
      </c>
      <c r="H1017" s="956">
        <f>IF(ISBLANK(Table2[[#This Row],[MergeCorpID]])=TRUE,0,IF(Table2[[#This Row],[SurvivingEdCorp]]=TRUE,1,2))</f>
        <v>2</v>
      </c>
    </row>
    <row r="1018" spans="2:10">
      <c r="B1018" s="938" t="s">
        <v>431</v>
      </c>
      <c r="C1018" s="935">
        <v>2010</v>
      </c>
      <c r="D1018" s="935"/>
      <c r="E1018" s="941"/>
      <c r="F1018" s="934"/>
      <c r="G1018" s="953" t="b">
        <f>IF(ISBLANK(Table2[[#This Row],[MergeCorpID]]=TRUE),"",AND(ISNUMBER(Table2[[#This Row],[MergeCorpID]])=TRUE,ISBLANK(Table2[[#This Row],[MergeName]])=FALSE))</f>
        <v>0</v>
      </c>
      <c r="H1018" s="954">
        <f>IF(ISBLANK(Table2[[#This Row],[MergeCorpID]])=TRUE,0,IF(Table2[[#This Row],[SurvivingEdCorp]]=TRUE,1,2))</f>
        <v>0</v>
      </c>
    </row>
    <row r="1019" spans="2:10">
      <c r="B1019" s="937" t="s">
        <v>604</v>
      </c>
      <c r="C1019" s="940">
        <v>2018</v>
      </c>
      <c r="D1019" s="939"/>
      <c r="E1019" s="939"/>
      <c r="F1019" s="936"/>
      <c r="G1019" s="955" t="b">
        <f>IF(ISBLANK(Table2[[#This Row],[MergeCorpID]]=TRUE),"",AND(ISNUMBER(Table2[[#This Row],[MergeCorpID]])=TRUE,ISBLANK(Table2[[#This Row],[MergeName]])=FALSE))</f>
        <v>0</v>
      </c>
      <c r="H1019" s="956">
        <f>IF(ISBLANK(Table2[[#This Row],[MergeCorpID]])=TRUE,0,IF(Table2[[#This Row],[SurvivingEdCorp]]=TRUE,1,2))</f>
        <v>0</v>
      </c>
    </row>
    <row r="1020" spans="2:10">
      <c r="B1020" s="938" t="s">
        <v>629</v>
      </c>
      <c r="C1020" s="935">
        <v>2019</v>
      </c>
      <c r="D1020" s="935"/>
      <c r="E1020" s="941"/>
      <c r="F1020" s="934"/>
      <c r="G1020" s="953" t="b">
        <f>IF(ISBLANK(Table2[[#This Row],[MergeCorpID]]=TRUE),"",AND(ISNUMBER(Table2[[#This Row],[MergeCorpID]])=TRUE,ISBLANK(Table2[[#This Row],[MergeName]])=FALSE))</f>
        <v>0</v>
      </c>
      <c r="H1020" s="954">
        <f>IF(ISBLANK(Table2[[#This Row],[MergeCorpID]])=TRUE,0,IF(Table2[[#This Row],[SurvivingEdCorp]]=TRUE,1,2))</f>
        <v>0</v>
      </c>
    </row>
    <row r="1021" spans="2:10">
      <c r="B1021" s="937" t="s">
        <v>652</v>
      </c>
      <c r="C1021" s="940">
        <v>2020</v>
      </c>
      <c r="D1021" s="939"/>
      <c r="E1021" s="939"/>
      <c r="F1021" s="936"/>
      <c r="G1021" s="955" t="b">
        <f>IF(ISBLANK(Table2[[#This Row],[MergeCorpID]]=TRUE),"",AND(ISNUMBER(Table2[[#This Row],[MergeCorpID]])=TRUE,ISBLANK(Table2[[#This Row],[MergeName]])=FALSE))</f>
        <v>0</v>
      </c>
      <c r="H1021" s="956">
        <f>IF(ISBLANK(Table2[[#This Row],[MergeCorpID]])=TRUE,0,IF(Table2[[#This Row],[SurvivingEdCorp]]=TRUE,1,2))</f>
        <v>0</v>
      </c>
    </row>
    <row r="1022" spans="2:10">
      <c r="B1022" s="938" t="s">
        <v>479</v>
      </c>
      <c r="C1022" s="935">
        <v>2016</v>
      </c>
      <c r="D1022" s="935">
        <v>2017</v>
      </c>
      <c r="E1022" s="941">
        <v>509</v>
      </c>
      <c r="F1022" s="934"/>
      <c r="G1022" s="953" t="b">
        <f>IF(ISBLANK(Table2[[#This Row],[MergeCorpID]]=TRUE),"",AND(ISNUMBER(Table2[[#This Row],[MergeCorpID]])=TRUE,ISBLANK(Table2[[#This Row],[MergeName]])=FALSE))</f>
        <v>0</v>
      </c>
      <c r="H1022" s="954">
        <f>IF(ISBLANK(Table2[[#This Row],[MergeCorpID]])=TRUE,0,IF(Table2[[#This Row],[SurvivingEdCorp]]=TRUE,1,2))</f>
        <v>2</v>
      </c>
    </row>
    <row r="1023" spans="2:10">
      <c r="B1023" s="937" t="s">
        <v>630</v>
      </c>
      <c r="C1023" s="940">
        <v>2018</v>
      </c>
      <c r="D1023" s="939">
        <v>2019</v>
      </c>
      <c r="E1023" s="939">
        <v>525</v>
      </c>
      <c r="F1023" s="936"/>
      <c r="G1023" s="955" t="b">
        <f>IF(ISBLANK(Table2[[#This Row],[MergeCorpID]]=TRUE),"",AND(ISNUMBER(Table2[[#This Row],[MergeCorpID]])=TRUE,ISBLANK(Table2[[#This Row],[MergeName]])=FALSE))</f>
        <v>0</v>
      </c>
      <c r="H1023" s="956">
        <f>IF(ISBLANK(Table2[[#This Row],[MergeCorpID]])=TRUE,0,IF(Table2[[#This Row],[SurvivingEdCorp]]=TRUE,1,2))</f>
        <v>2</v>
      </c>
    </row>
    <row r="1024" spans="2:10">
      <c r="B1024" s="938" t="s">
        <v>631</v>
      </c>
      <c r="C1024" s="935">
        <v>2018</v>
      </c>
      <c r="D1024" s="935">
        <v>2019</v>
      </c>
      <c r="E1024" s="941">
        <v>525</v>
      </c>
      <c r="F1024" s="934" t="s">
        <v>605</v>
      </c>
      <c r="G1024" s="953" t="b">
        <f>IF(ISBLANK(Table2[[#This Row],[MergeCorpID]]=TRUE),"",AND(ISNUMBER(Table2[[#This Row],[MergeCorpID]])=TRUE,ISBLANK(Table2[[#This Row],[MergeName]])=FALSE))</f>
        <v>1</v>
      </c>
      <c r="H1024" s="954">
        <f>IF(ISBLANK(Table2[[#This Row],[MergeCorpID]])=TRUE,0,IF(Table2[[#This Row],[SurvivingEdCorp]]=TRUE,1,2))</f>
        <v>1</v>
      </c>
    </row>
    <row r="1025" spans="2:8">
      <c r="B1025" s="937" t="s">
        <v>1344</v>
      </c>
      <c r="C1025" s="940">
        <v>2020</v>
      </c>
      <c r="D1025" s="939">
        <v>2021</v>
      </c>
      <c r="E1025" s="939">
        <v>525</v>
      </c>
      <c r="F1025" s="936"/>
      <c r="G1025" s="955" t="b">
        <f>IF(ISBLANK(Table2[[#This Row],[MergeCorpID]]=TRUE),"",AND(ISNUMBER(Table2[[#This Row],[MergeCorpID]])=TRUE,ISBLANK(Table2[[#This Row],[MergeName]])=FALSE))</f>
        <v>0</v>
      </c>
      <c r="H1025" s="956">
        <f>IF(ISBLANK(Table2[[#This Row],[MergeCorpID]])=TRUE,0,IF(Table2[[#This Row],[SurvivingEdCorp]]=TRUE,1,2))</f>
        <v>2</v>
      </c>
    </row>
    <row r="1026" spans="2:8">
      <c r="B1026" s="938" t="s">
        <v>1345</v>
      </c>
      <c r="C1026" s="935">
        <v>2020</v>
      </c>
      <c r="D1026" s="935">
        <v>2021</v>
      </c>
      <c r="E1026" s="941">
        <v>525</v>
      </c>
      <c r="F1026" s="934"/>
      <c r="G1026" s="953" t="b">
        <f>IF(ISBLANK(Table2[[#This Row],[MergeCorpID]]=TRUE),"",AND(ISNUMBER(Table2[[#This Row],[MergeCorpID]])=TRUE,ISBLANK(Table2[[#This Row],[MergeName]])=FALSE))</f>
        <v>0</v>
      </c>
      <c r="H1026" s="954">
        <f>IF(ISBLANK(Table2[[#This Row],[MergeCorpID]])=TRUE,0,IF(Table2[[#This Row],[SurvivingEdCorp]]=TRUE,1,2))</f>
        <v>2</v>
      </c>
    </row>
  </sheetData>
  <sheetProtection selectLockedCells="1"/>
  <sortState xmlns:xlrd2="http://schemas.microsoft.com/office/spreadsheetml/2017/richdata2" ref="B802:H973">
    <sortCondition ref="B802:B973"/>
  </sortState>
  <mergeCells count="9">
    <mergeCell ref="D802:J802"/>
    <mergeCell ref="C50:C51"/>
    <mergeCell ref="K102:K107"/>
    <mergeCell ref="M11:O11"/>
    <mergeCell ref="M4:O4"/>
    <mergeCell ref="M12:O12"/>
    <mergeCell ref="D799:J799"/>
    <mergeCell ref="D800:J800"/>
    <mergeCell ref="D801:J801"/>
  </mergeCells>
  <conditionalFormatting sqref="B794">
    <cfRule type="expression" dxfId="41" priority="422">
      <formula>$R809="Transferred"</formula>
    </cfRule>
    <cfRule type="expression" dxfId="40" priority="442">
      <formula>$R809="Closed"</formula>
    </cfRule>
    <cfRule type="expression" dxfId="39" priority="444">
      <formula>AA809="Closed"</formula>
    </cfRule>
  </conditionalFormatting>
  <conditionalFormatting sqref="B809">
    <cfRule type="expression" dxfId="38" priority="42">
      <formula>OR($S809="Closed",$S809="Transferred")</formula>
    </cfRule>
  </conditionalFormatting>
  <conditionalFormatting sqref="C809">
    <cfRule type="expression" dxfId="37" priority="41">
      <formula>OR($S809="Closed",$S809="Transferred")</formula>
    </cfRule>
  </conditionalFormatting>
  <conditionalFormatting sqref="D792">
    <cfRule type="expression" dxfId="36" priority="445">
      <formula>$R810="Closed"</formula>
    </cfRule>
    <cfRule type="expression" dxfId="35" priority="496">
      <formula>$R810="Transferred"</formula>
    </cfRule>
    <cfRule type="expression" dxfId="34" priority="501">
      <formula>AA810="Closed"</formula>
    </cfRule>
  </conditionalFormatting>
  <conditionalFormatting sqref="D793:D795 C795 C797:D797 C799:D802">
    <cfRule type="expression" dxfId="33" priority="518">
      <formula>#REF!="Transferred"</formula>
    </cfRule>
  </conditionalFormatting>
  <conditionalFormatting sqref="D793:D795 C795:D795 C797:D797 C799:D802">
    <cfRule type="expression" dxfId="32" priority="503">
      <formula>#REF!="Closed"</formula>
    </cfRule>
  </conditionalFormatting>
  <conditionalFormatting sqref="D793:D795 D797 D799:D802">
    <cfRule type="expression" dxfId="31" priority="522">
      <formula>#REF!="Closed"</formula>
    </cfRule>
  </conditionalFormatting>
  <conditionalFormatting sqref="D809">
    <cfRule type="expression" dxfId="30" priority="40">
      <formula>OR($S809="Closed",$S809="Transferred")</formula>
    </cfRule>
  </conditionalFormatting>
  <conditionalFormatting sqref="E809">
    <cfRule type="expression" dxfId="29" priority="39">
      <formula>OR($S809="Closed",$S809="Transferred")</formula>
    </cfRule>
  </conditionalFormatting>
  <conditionalFormatting sqref="F809">
    <cfRule type="expression" dxfId="28" priority="110">
      <formula>OR(#REF!="Closed",#REF!="Transferred")</formula>
    </cfRule>
  </conditionalFormatting>
  <conditionalFormatting sqref="M15:M16">
    <cfRule type="expression" dxfId="27" priority="187">
      <formula>OR(#REF!="Closed",#REF!="Transferred")</formula>
    </cfRule>
  </conditionalFormatting>
  <conditionalFormatting sqref="B810:E1023">
    <cfRule type="expression" dxfId="26" priority="8">
      <formula>OR($S810="Closed",$S810="Transferred")</formula>
    </cfRule>
  </conditionalFormatting>
  <conditionalFormatting sqref="F810">
    <cfRule type="expression" dxfId="25" priority="15">
      <formula>OR(#REF!="Closed",#REF!="Transferred")</formula>
    </cfRule>
    <cfRule type="expression" dxfId="24" priority="16">
      <formula>OR($T810="Closed",$T810="Transferred")</formula>
    </cfRule>
    <cfRule type="expression" dxfId="23" priority="17">
      <formula>$S810="Closed"</formula>
    </cfRule>
    <cfRule type="expression" dxfId="22" priority="18">
      <formula>$S810="Transferred"</formula>
    </cfRule>
    <cfRule type="expression" dxfId="21" priority="19">
      <formula>R810="Closed"</formula>
    </cfRule>
  </conditionalFormatting>
  <conditionalFormatting sqref="F811 F813 F815 F817 F819 F821 F823 F825 F827 F829 F831 F836 F838 F840 F842 F844 F846 F848 F850 F852 F854 F856 F858 F860 F862 F864 F866 F868 F870 F872 F874 F876 F878 F880 F882 F884 F886 F888 F890 F892 F894 F896 F898 F900 F902 F904 F906 F908 F910 F912 F914 F916 F918 F920 F922 F924 F926 F928 F930 F932 F934 F936 F938 F940 F942 F944 F946 F948 F950 F952 F954 F956 F958 F960 F962 F964 F966 F968 F970 F972 F974 F976 F978 F980 F982 F984 F986 F988 F990 F992 F994 F996 F998 F1000 F1002 F1004 F1006 F1008 F1010 F1012 F1014 F1016 F1018 F1020 F1022">
    <cfRule type="expression" dxfId="20" priority="9">
      <formula>OR(#REF!="Closed",#REF!="Transferred")</formula>
    </cfRule>
  </conditionalFormatting>
  <conditionalFormatting sqref="F812 F814 F816 F818 F820 F822 F824 F826 F828 F830 F837 F839 F841 F843 F845 F847 F849 F851 F853 F855 F857 F859 F861 F863 F865 F867 F869 F871 F873 F875 F877 F879 F881 F883 F885 F887 F889 F891 F893 F895 F897 F899 F901 F903 F905 F907 F909 F911 F913 F915 F917 F919 F921 F923 F925 F927 F929 F931 F933 F935 F937 F939 F941 F943 F945 F947 F949 F951 F953 F955 F957 F959 F961 F963 F965 F967 F969 F971 F973 F975 F977 F979 F981 F983 F985 F987 F989 F991 F993 F995 F997 F999 F1001 F1003 F1005 F1007 F1009 F1011 F1013 F1015 F1017 F1019 F1021 F1023 F832:F835">
    <cfRule type="expression" dxfId="19" priority="10">
      <formula>OR(#REF!="Closed",#REF!="Transferred")</formula>
    </cfRule>
    <cfRule type="expression" dxfId="18" priority="11">
      <formula>OR($T812="Closed",$T812="Transferred")</formula>
    </cfRule>
    <cfRule type="expression" dxfId="17" priority="12">
      <formula>$S812="Closed"</formula>
    </cfRule>
    <cfRule type="expression" dxfId="16" priority="13">
      <formula>$S812="Transferred"</formula>
    </cfRule>
    <cfRule type="expression" dxfId="15" priority="14">
      <formula>R812="Closed"</formula>
    </cfRule>
  </conditionalFormatting>
  <conditionalFormatting sqref="B1024:E1026">
    <cfRule type="expression" dxfId="14" priority="1">
      <formula>OR($S1024="Closed",$S1024="Transferred")</formula>
    </cfRule>
  </conditionalFormatting>
  <conditionalFormatting sqref="F1024 F1026">
    <cfRule type="expression" dxfId="13" priority="2">
      <formula>OR(#REF!="Closed",#REF!="Transferred")</formula>
    </cfRule>
  </conditionalFormatting>
  <conditionalFormatting sqref="F1025">
    <cfRule type="expression" dxfId="12" priority="3">
      <formula>OR(#REF!="Closed",#REF!="Transferred")</formula>
    </cfRule>
    <cfRule type="expression" dxfId="11" priority="4">
      <formula>OR($T1025="Closed",$T1025="Transferred")</formula>
    </cfRule>
    <cfRule type="expression" dxfId="10" priority="5">
      <formula>$S1025="Closed"</formula>
    </cfRule>
    <cfRule type="expression" dxfId="9" priority="6">
      <formula>$S1025="Transferred"</formula>
    </cfRule>
    <cfRule type="expression" dxfId="8" priority="7">
      <formula>R1025="Closed"</formula>
    </cfRule>
  </conditionalFormatting>
  <dataValidations disablePrompts="1" count="2">
    <dataValidation type="list" sqref="K31" xr:uid="{00000000-0002-0000-0900-000000000000}">
      <formula1>$B$36</formula1>
    </dataValidation>
    <dataValidation showInputMessage="1" showErrorMessage="1" sqref="I28" xr:uid="{00000000-0002-0000-0900-000001000000}"/>
  </dataValidations>
  <hyperlinks>
    <hyperlink ref="G116" r:id="rId1" xr:uid="{00000000-0004-0000-0900-000000000000}"/>
  </hyperlinks>
  <pageMargins left="0.7" right="0.7" top="0.75" bottom="0.75" header="0.3" footer="0.3"/>
  <pageSetup orientation="portrait"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333333"/>
    <pageSetUpPr fitToPage="1"/>
  </sheetPr>
  <dimension ref="B1:K684"/>
  <sheetViews>
    <sheetView showGridLines="0" zoomScale="90" zoomScaleNormal="90" zoomScaleSheetLayoutView="85" zoomScalePageLayoutView="80" workbookViewId="0">
      <pane ySplit="5" topLeftCell="A6" activePane="bottomLeft" state="frozen"/>
      <selection activeCell="J16" sqref="J16"/>
      <selection pane="bottomLeft" activeCell="G11" sqref="G11"/>
    </sheetView>
  </sheetViews>
  <sheetFormatPr defaultColWidth="10.28515625" defaultRowHeight="15"/>
  <cols>
    <col min="1" max="1" width="3.7109375" style="140" customWidth="1"/>
    <col min="2" max="2" width="4.7109375" style="140" customWidth="1"/>
    <col min="3" max="3" width="12.85546875" style="140" bestFit="1" customWidth="1"/>
    <col min="4" max="4" width="44.5703125" style="140" customWidth="1"/>
    <col min="5" max="6" width="18.85546875" style="140" bestFit="1" customWidth="1"/>
    <col min="7" max="8" width="10.28515625" style="140"/>
    <col min="9" max="9" width="53.42578125" style="140" customWidth="1"/>
    <col min="10" max="210" width="10.28515625" style="140"/>
    <col min="211" max="211" width="3.7109375" style="140" customWidth="1"/>
    <col min="212" max="212" width="5.28515625" style="140" customWidth="1"/>
    <col min="213" max="213" width="9.42578125" style="140" bestFit="1" customWidth="1"/>
    <col min="214" max="214" width="25.7109375" style="140" bestFit="1" customWidth="1"/>
    <col min="215" max="216" width="21.7109375" style="140" customWidth="1"/>
    <col min="217" max="217" width="10.28515625" style="140" customWidth="1"/>
    <col min="218" max="218" width="5.28515625" style="140" customWidth="1"/>
    <col min="219" max="219" width="9.42578125" style="140" bestFit="1" customWidth="1"/>
    <col min="220" max="220" width="25.7109375" style="140" bestFit="1" customWidth="1"/>
    <col min="221" max="221" width="21" style="140" customWidth="1"/>
    <col min="222" max="222" width="20.28515625" style="140" customWidth="1"/>
    <col min="223" max="466" width="10.28515625" style="140"/>
    <col min="467" max="467" width="3.7109375" style="140" customWidth="1"/>
    <col min="468" max="468" width="5.28515625" style="140" customWidth="1"/>
    <col min="469" max="469" width="9.42578125" style="140" bestFit="1" customWidth="1"/>
    <col min="470" max="470" width="25.7109375" style="140" bestFit="1" customWidth="1"/>
    <col min="471" max="472" width="21.7109375" style="140" customWidth="1"/>
    <col min="473" max="473" width="10.28515625" style="140" customWidth="1"/>
    <col min="474" max="474" width="5.28515625" style="140" customWidth="1"/>
    <col min="475" max="475" width="9.42578125" style="140" bestFit="1" customWidth="1"/>
    <col min="476" max="476" width="25.7109375" style="140" bestFit="1" customWidth="1"/>
    <col min="477" max="477" width="21" style="140" customWidth="1"/>
    <col min="478" max="478" width="20.28515625" style="140" customWidth="1"/>
    <col min="479" max="722" width="10.28515625" style="140"/>
    <col min="723" max="723" width="3.7109375" style="140" customWidth="1"/>
    <col min="724" max="724" width="5.28515625" style="140" customWidth="1"/>
    <col min="725" max="725" width="9.42578125" style="140" bestFit="1" customWidth="1"/>
    <col min="726" max="726" width="25.7109375" style="140" bestFit="1" customWidth="1"/>
    <col min="727" max="728" width="21.7109375" style="140" customWidth="1"/>
    <col min="729" max="729" width="10.28515625" style="140" customWidth="1"/>
    <col min="730" max="730" width="5.28515625" style="140" customWidth="1"/>
    <col min="731" max="731" width="9.42578125" style="140" bestFit="1" customWidth="1"/>
    <col min="732" max="732" width="25.7109375" style="140" bestFit="1" customWidth="1"/>
    <col min="733" max="733" width="21" style="140" customWidth="1"/>
    <col min="734" max="734" width="20.28515625" style="140" customWidth="1"/>
    <col min="735" max="978" width="10.28515625" style="140"/>
    <col min="979" max="979" width="3.7109375" style="140" customWidth="1"/>
    <col min="980" max="980" width="5.28515625" style="140" customWidth="1"/>
    <col min="981" max="981" width="9.42578125" style="140" bestFit="1" customWidth="1"/>
    <col min="982" max="982" width="25.7109375" style="140" bestFit="1" customWidth="1"/>
    <col min="983" max="984" width="21.7109375" style="140" customWidth="1"/>
    <col min="985" max="985" width="10.28515625" style="140" customWidth="1"/>
    <col min="986" max="986" width="5.28515625" style="140" customWidth="1"/>
    <col min="987" max="987" width="9.42578125" style="140" bestFit="1" customWidth="1"/>
    <col min="988" max="988" width="25.7109375" style="140" bestFit="1" customWidth="1"/>
    <col min="989" max="989" width="21" style="140" customWidth="1"/>
    <col min="990" max="990" width="20.28515625" style="140" customWidth="1"/>
    <col min="991" max="1234" width="10.28515625" style="140"/>
    <col min="1235" max="1235" width="3.7109375" style="140" customWidth="1"/>
    <col min="1236" max="1236" width="5.28515625" style="140" customWidth="1"/>
    <col min="1237" max="1237" width="9.42578125" style="140" bestFit="1" customWidth="1"/>
    <col min="1238" max="1238" width="25.7109375" style="140" bestFit="1" customWidth="1"/>
    <col min="1239" max="1240" width="21.7109375" style="140" customWidth="1"/>
    <col min="1241" max="1241" width="10.28515625" style="140" customWidth="1"/>
    <col min="1242" max="1242" width="5.28515625" style="140" customWidth="1"/>
    <col min="1243" max="1243" width="9.42578125" style="140" bestFit="1" customWidth="1"/>
    <col min="1244" max="1244" width="25.7109375" style="140" bestFit="1" customWidth="1"/>
    <col min="1245" max="1245" width="21" style="140" customWidth="1"/>
    <col min="1246" max="1246" width="20.28515625" style="140" customWidth="1"/>
    <col min="1247" max="1490" width="10.28515625" style="140"/>
    <col min="1491" max="1491" width="3.7109375" style="140" customWidth="1"/>
    <col min="1492" max="1492" width="5.28515625" style="140" customWidth="1"/>
    <col min="1493" max="1493" width="9.42578125" style="140" bestFit="1" customWidth="1"/>
    <col min="1494" max="1494" width="25.7109375" style="140" bestFit="1" customWidth="1"/>
    <col min="1495" max="1496" width="21.7109375" style="140" customWidth="1"/>
    <col min="1497" max="1497" width="10.28515625" style="140" customWidth="1"/>
    <col min="1498" max="1498" width="5.28515625" style="140" customWidth="1"/>
    <col min="1499" max="1499" width="9.42578125" style="140" bestFit="1" customWidth="1"/>
    <col min="1500" max="1500" width="25.7109375" style="140" bestFit="1" customWidth="1"/>
    <col min="1501" max="1501" width="21" style="140" customWidth="1"/>
    <col min="1502" max="1502" width="20.28515625" style="140" customWidth="1"/>
    <col min="1503" max="1746" width="10.28515625" style="140"/>
    <col min="1747" max="1747" width="3.7109375" style="140" customWidth="1"/>
    <col min="1748" max="1748" width="5.28515625" style="140" customWidth="1"/>
    <col min="1749" max="1749" width="9.42578125" style="140" bestFit="1" customWidth="1"/>
    <col min="1750" max="1750" width="25.7109375" style="140" bestFit="1" customWidth="1"/>
    <col min="1751" max="1752" width="21.7109375" style="140" customWidth="1"/>
    <col min="1753" max="1753" width="10.28515625" style="140" customWidth="1"/>
    <col min="1754" max="1754" width="5.28515625" style="140" customWidth="1"/>
    <col min="1755" max="1755" width="9.42578125" style="140" bestFit="1" customWidth="1"/>
    <col min="1756" max="1756" width="25.7109375" style="140" bestFit="1" customWidth="1"/>
    <col min="1757" max="1757" width="21" style="140" customWidth="1"/>
    <col min="1758" max="1758" width="20.28515625" style="140" customWidth="1"/>
    <col min="1759" max="2002" width="10.28515625" style="140"/>
    <col min="2003" max="2003" width="3.7109375" style="140" customWidth="1"/>
    <col min="2004" max="2004" width="5.28515625" style="140" customWidth="1"/>
    <col min="2005" max="2005" width="9.42578125" style="140" bestFit="1" customWidth="1"/>
    <col min="2006" max="2006" width="25.7109375" style="140" bestFit="1" customWidth="1"/>
    <col min="2007" max="2008" width="21.7109375" style="140" customWidth="1"/>
    <col min="2009" max="2009" width="10.28515625" style="140" customWidth="1"/>
    <col min="2010" max="2010" width="5.28515625" style="140" customWidth="1"/>
    <col min="2011" max="2011" width="9.42578125" style="140" bestFit="1" customWidth="1"/>
    <col min="2012" max="2012" width="25.7109375" style="140" bestFit="1" customWidth="1"/>
    <col min="2013" max="2013" width="21" style="140" customWidth="1"/>
    <col min="2014" max="2014" width="20.28515625" style="140" customWidth="1"/>
    <col min="2015" max="2258" width="10.28515625" style="140"/>
    <col min="2259" max="2259" width="3.7109375" style="140" customWidth="1"/>
    <col min="2260" max="2260" width="5.28515625" style="140" customWidth="1"/>
    <col min="2261" max="2261" width="9.42578125" style="140" bestFit="1" customWidth="1"/>
    <col min="2262" max="2262" width="25.7109375" style="140" bestFit="1" customWidth="1"/>
    <col min="2263" max="2264" width="21.7109375" style="140" customWidth="1"/>
    <col min="2265" max="2265" width="10.28515625" style="140" customWidth="1"/>
    <col min="2266" max="2266" width="5.28515625" style="140" customWidth="1"/>
    <col min="2267" max="2267" width="9.42578125" style="140" bestFit="1" customWidth="1"/>
    <col min="2268" max="2268" width="25.7109375" style="140" bestFit="1" customWidth="1"/>
    <col min="2269" max="2269" width="21" style="140" customWidth="1"/>
    <col min="2270" max="2270" width="20.28515625" style="140" customWidth="1"/>
    <col min="2271" max="2514" width="10.28515625" style="140"/>
    <col min="2515" max="2515" width="3.7109375" style="140" customWidth="1"/>
    <col min="2516" max="2516" width="5.28515625" style="140" customWidth="1"/>
    <col min="2517" max="2517" width="9.42578125" style="140" bestFit="1" customWidth="1"/>
    <col min="2518" max="2518" width="25.7109375" style="140" bestFit="1" customWidth="1"/>
    <col min="2519" max="2520" width="21.7109375" style="140" customWidth="1"/>
    <col min="2521" max="2521" width="10.28515625" style="140" customWidth="1"/>
    <col min="2522" max="2522" width="5.28515625" style="140" customWidth="1"/>
    <col min="2523" max="2523" width="9.42578125" style="140" bestFit="1" customWidth="1"/>
    <col min="2524" max="2524" width="25.7109375" style="140" bestFit="1" customWidth="1"/>
    <col min="2525" max="2525" width="21" style="140" customWidth="1"/>
    <col min="2526" max="2526" width="20.28515625" style="140" customWidth="1"/>
    <col min="2527" max="2770" width="10.28515625" style="140"/>
    <col min="2771" max="2771" width="3.7109375" style="140" customWidth="1"/>
    <col min="2772" max="2772" width="5.28515625" style="140" customWidth="1"/>
    <col min="2773" max="2773" width="9.42578125" style="140" bestFit="1" customWidth="1"/>
    <col min="2774" max="2774" width="25.7109375" style="140" bestFit="1" customWidth="1"/>
    <col min="2775" max="2776" width="21.7109375" style="140" customWidth="1"/>
    <col min="2777" max="2777" width="10.28515625" style="140" customWidth="1"/>
    <col min="2778" max="2778" width="5.28515625" style="140" customWidth="1"/>
    <col min="2779" max="2779" width="9.42578125" style="140" bestFit="1" customWidth="1"/>
    <col min="2780" max="2780" width="25.7109375" style="140" bestFit="1" customWidth="1"/>
    <col min="2781" max="2781" width="21" style="140" customWidth="1"/>
    <col min="2782" max="2782" width="20.28515625" style="140" customWidth="1"/>
    <col min="2783" max="3026" width="10.28515625" style="140"/>
    <col min="3027" max="3027" width="3.7109375" style="140" customWidth="1"/>
    <col min="3028" max="3028" width="5.28515625" style="140" customWidth="1"/>
    <col min="3029" max="3029" width="9.42578125" style="140" bestFit="1" customWidth="1"/>
    <col min="3030" max="3030" width="25.7109375" style="140" bestFit="1" customWidth="1"/>
    <col min="3031" max="3032" width="21.7109375" style="140" customWidth="1"/>
    <col min="3033" max="3033" width="10.28515625" style="140" customWidth="1"/>
    <col min="3034" max="3034" width="5.28515625" style="140" customWidth="1"/>
    <col min="3035" max="3035" width="9.42578125" style="140" bestFit="1" customWidth="1"/>
    <col min="3036" max="3036" width="25.7109375" style="140" bestFit="1" customWidth="1"/>
    <col min="3037" max="3037" width="21" style="140" customWidth="1"/>
    <col min="3038" max="3038" width="20.28515625" style="140" customWidth="1"/>
    <col min="3039" max="3282" width="10.28515625" style="140"/>
    <col min="3283" max="3283" width="3.7109375" style="140" customWidth="1"/>
    <col min="3284" max="3284" width="5.28515625" style="140" customWidth="1"/>
    <col min="3285" max="3285" width="9.42578125" style="140" bestFit="1" customWidth="1"/>
    <col min="3286" max="3286" width="25.7109375" style="140" bestFit="1" customWidth="1"/>
    <col min="3287" max="3288" width="21.7109375" style="140" customWidth="1"/>
    <col min="3289" max="3289" width="10.28515625" style="140" customWidth="1"/>
    <col min="3290" max="3290" width="5.28515625" style="140" customWidth="1"/>
    <col min="3291" max="3291" width="9.42578125" style="140" bestFit="1" customWidth="1"/>
    <col min="3292" max="3292" width="25.7109375" style="140" bestFit="1" customWidth="1"/>
    <col min="3293" max="3293" width="21" style="140" customWidth="1"/>
    <col min="3294" max="3294" width="20.28515625" style="140" customWidth="1"/>
    <col min="3295" max="3538" width="10.28515625" style="140"/>
    <col min="3539" max="3539" width="3.7109375" style="140" customWidth="1"/>
    <col min="3540" max="3540" width="5.28515625" style="140" customWidth="1"/>
    <col min="3541" max="3541" width="9.42578125" style="140" bestFit="1" customWidth="1"/>
    <col min="3542" max="3542" width="25.7109375" style="140" bestFit="1" customWidth="1"/>
    <col min="3543" max="3544" width="21.7109375" style="140" customWidth="1"/>
    <col min="3545" max="3545" width="10.28515625" style="140" customWidth="1"/>
    <col min="3546" max="3546" width="5.28515625" style="140" customWidth="1"/>
    <col min="3547" max="3547" width="9.42578125" style="140" bestFit="1" customWidth="1"/>
    <col min="3548" max="3548" width="25.7109375" style="140" bestFit="1" customWidth="1"/>
    <col min="3549" max="3549" width="21" style="140" customWidth="1"/>
    <col min="3550" max="3550" width="20.28515625" style="140" customWidth="1"/>
    <col min="3551" max="3794" width="10.28515625" style="140"/>
    <col min="3795" max="3795" width="3.7109375" style="140" customWidth="1"/>
    <col min="3796" max="3796" width="5.28515625" style="140" customWidth="1"/>
    <col min="3797" max="3797" width="9.42578125" style="140" bestFit="1" customWidth="1"/>
    <col min="3798" max="3798" width="25.7109375" style="140" bestFit="1" customWidth="1"/>
    <col min="3799" max="3800" width="21.7109375" style="140" customWidth="1"/>
    <col min="3801" max="3801" width="10.28515625" style="140" customWidth="1"/>
    <col min="3802" max="3802" width="5.28515625" style="140" customWidth="1"/>
    <col min="3803" max="3803" width="9.42578125" style="140" bestFit="1" customWidth="1"/>
    <col min="3804" max="3804" width="25.7109375" style="140" bestFit="1" customWidth="1"/>
    <col min="3805" max="3805" width="21" style="140" customWidth="1"/>
    <col min="3806" max="3806" width="20.28515625" style="140" customWidth="1"/>
    <col min="3807" max="4050" width="10.28515625" style="140"/>
    <col min="4051" max="4051" width="3.7109375" style="140" customWidth="1"/>
    <col min="4052" max="4052" width="5.28515625" style="140" customWidth="1"/>
    <col min="4053" max="4053" width="9.42578125" style="140" bestFit="1" customWidth="1"/>
    <col min="4054" max="4054" width="25.7109375" style="140" bestFit="1" customWidth="1"/>
    <col min="4055" max="4056" width="21.7109375" style="140" customWidth="1"/>
    <col min="4057" max="4057" width="10.28515625" style="140" customWidth="1"/>
    <col min="4058" max="4058" width="5.28515625" style="140" customWidth="1"/>
    <col min="4059" max="4059" width="9.42578125" style="140" bestFit="1" customWidth="1"/>
    <col min="4060" max="4060" width="25.7109375" style="140" bestFit="1" customWidth="1"/>
    <col min="4061" max="4061" width="21" style="140" customWidth="1"/>
    <col min="4062" max="4062" width="20.28515625" style="140" customWidth="1"/>
    <col min="4063" max="4306" width="10.28515625" style="140"/>
    <col min="4307" max="4307" width="3.7109375" style="140" customWidth="1"/>
    <col min="4308" max="4308" width="5.28515625" style="140" customWidth="1"/>
    <col min="4309" max="4309" width="9.42578125" style="140" bestFit="1" customWidth="1"/>
    <col min="4310" max="4310" width="25.7109375" style="140" bestFit="1" customWidth="1"/>
    <col min="4311" max="4312" width="21.7109375" style="140" customWidth="1"/>
    <col min="4313" max="4313" width="10.28515625" style="140" customWidth="1"/>
    <col min="4314" max="4314" width="5.28515625" style="140" customWidth="1"/>
    <col min="4315" max="4315" width="9.42578125" style="140" bestFit="1" customWidth="1"/>
    <col min="4316" max="4316" width="25.7109375" style="140" bestFit="1" customWidth="1"/>
    <col min="4317" max="4317" width="21" style="140" customWidth="1"/>
    <col min="4318" max="4318" width="20.28515625" style="140" customWidth="1"/>
    <col min="4319" max="4562" width="10.28515625" style="140"/>
    <col min="4563" max="4563" width="3.7109375" style="140" customWidth="1"/>
    <col min="4564" max="4564" width="5.28515625" style="140" customWidth="1"/>
    <col min="4565" max="4565" width="9.42578125" style="140" bestFit="1" customWidth="1"/>
    <col min="4566" max="4566" width="25.7109375" style="140" bestFit="1" customWidth="1"/>
    <col min="4567" max="4568" width="21.7109375" style="140" customWidth="1"/>
    <col min="4569" max="4569" width="10.28515625" style="140" customWidth="1"/>
    <col min="4570" max="4570" width="5.28515625" style="140" customWidth="1"/>
    <col min="4571" max="4571" width="9.42578125" style="140" bestFit="1" customWidth="1"/>
    <col min="4572" max="4572" width="25.7109375" style="140" bestFit="1" customWidth="1"/>
    <col min="4573" max="4573" width="21" style="140" customWidth="1"/>
    <col min="4574" max="4574" width="20.28515625" style="140" customWidth="1"/>
    <col min="4575" max="4818" width="10.28515625" style="140"/>
    <col min="4819" max="4819" width="3.7109375" style="140" customWidth="1"/>
    <col min="4820" max="4820" width="5.28515625" style="140" customWidth="1"/>
    <col min="4821" max="4821" width="9.42578125" style="140" bestFit="1" customWidth="1"/>
    <col min="4822" max="4822" width="25.7109375" style="140" bestFit="1" customWidth="1"/>
    <col min="4823" max="4824" width="21.7109375" style="140" customWidth="1"/>
    <col min="4825" max="4825" width="10.28515625" style="140" customWidth="1"/>
    <col min="4826" max="4826" width="5.28515625" style="140" customWidth="1"/>
    <col min="4827" max="4827" width="9.42578125" style="140" bestFit="1" customWidth="1"/>
    <col min="4828" max="4828" width="25.7109375" style="140" bestFit="1" customWidth="1"/>
    <col min="4829" max="4829" width="21" style="140" customWidth="1"/>
    <col min="4830" max="4830" width="20.28515625" style="140" customWidth="1"/>
    <col min="4831" max="5074" width="10.28515625" style="140"/>
    <col min="5075" max="5075" width="3.7109375" style="140" customWidth="1"/>
    <col min="5076" max="5076" width="5.28515625" style="140" customWidth="1"/>
    <col min="5077" max="5077" width="9.42578125" style="140" bestFit="1" customWidth="1"/>
    <col min="5078" max="5078" width="25.7109375" style="140" bestFit="1" customWidth="1"/>
    <col min="5079" max="5080" width="21.7109375" style="140" customWidth="1"/>
    <col min="5081" max="5081" width="10.28515625" style="140" customWidth="1"/>
    <col min="5082" max="5082" width="5.28515625" style="140" customWidth="1"/>
    <col min="5083" max="5083" width="9.42578125" style="140" bestFit="1" customWidth="1"/>
    <col min="5084" max="5084" width="25.7109375" style="140" bestFit="1" customWidth="1"/>
    <col min="5085" max="5085" width="21" style="140" customWidth="1"/>
    <col min="5086" max="5086" width="20.28515625" style="140" customWidth="1"/>
    <col min="5087" max="5330" width="10.28515625" style="140"/>
    <col min="5331" max="5331" width="3.7109375" style="140" customWidth="1"/>
    <col min="5332" max="5332" width="5.28515625" style="140" customWidth="1"/>
    <col min="5333" max="5333" width="9.42578125" style="140" bestFit="1" customWidth="1"/>
    <col min="5334" max="5334" width="25.7109375" style="140" bestFit="1" customWidth="1"/>
    <col min="5335" max="5336" width="21.7109375" style="140" customWidth="1"/>
    <col min="5337" max="5337" width="10.28515625" style="140" customWidth="1"/>
    <col min="5338" max="5338" width="5.28515625" style="140" customWidth="1"/>
    <col min="5339" max="5339" width="9.42578125" style="140" bestFit="1" customWidth="1"/>
    <col min="5340" max="5340" width="25.7109375" style="140" bestFit="1" customWidth="1"/>
    <col min="5341" max="5341" width="21" style="140" customWidth="1"/>
    <col min="5342" max="5342" width="20.28515625" style="140" customWidth="1"/>
    <col min="5343" max="5586" width="10.28515625" style="140"/>
    <col min="5587" max="5587" width="3.7109375" style="140" customWidth="1"/>
    <col min="5588" max="5588" width="5.28515625" style="140" customWidth="1"/>
    <col min="5589" max="5589" width="9.42578125" style="140" bestFit="1" customWidth="1"/>
    <col min="5590" max="5590" width="25.7109375" style="140" bestFit="1" customWidth="1"/>
    <col min="5591" max="5592" width="21.7109375" style="140" customWidth="1"/>
    <col min="5593" max="5593" width="10.28515625" style="140" customWidth="1"/>
    <col min="5594" max="5594" width="5.28515625" style="140" customWidth="1"/>
    <col min="5595" max="5595" width="9.42578125" style="140" bestFit="1" customWidth="1"/>
    <col min="5596" max="5596" width="25.7109375" style="140" bestFit="1" customWidth="1"/>
    <col min="5597" max="5597" width="21" style="140" customWidth="1"/>
    <col min="5598" max="5598" width="20.28515625" style="140" customWidth="1"/>
    <col min="5599" max="5842" width="10.28515625" style="140"/>
    <col min="5843" max="5843" width="3.7109375" style="140" customWidth="1"/>
    <col min="5844" max="5844" width="5.28515625" style="140" customWidth="1"/>
    <col min="5845" max="5845" width="9.42578125" style="140" bestFit="1" customWidth="1"/>
    <col min="5846" max="5846" width="25.7109375" style="140" bestFit="1" customWidth="1"/>
    <col min="5847" max="5848" width="21.7109375" style="140" customWidth="1"/>
    <col min="5849" max="5849" width="10.28515625" style="140" customWidth="1"/>
    <col min="5850" max="5850" width="5.28515625" style="140" customWidth="1"/>
    <col min="5851" max="5851" width="9.42578125" style="140" bestFit="1" customWidth="1"/>
    <col min="5852" max="5852" width="25.7109375" style="140" bestFit="1" customWidth="1"/>
    <col min="5853" max="5853" width="21" style="140" customWidth="1"/>
    <col min="5854" max="5854" width="20.28515625" style="140" customWidth="1"/>
    <col min="5855" max="6098" width="10.28515625" style="140"/>
    <col min="6099" max="6099" width="3.7109375" style="140" customWidth="1"/>
    <col min="6100" max="6100" width="5.28515625" style="140" customWidth="1"/>
    <col min="6101" max="6101" width="9.42578125" style="140" bestFit="1" customWidth="1"/>
    <col min="6102" max="6102" width="25.7109375" style="140" bestFit="1" customWidth="1"/>
    <col min="6103" max="6104" width="21.7109375" style="140" customWidth="1"/>
    <col min="6105" max="6105" width="10.28515625" style="140" customWidth="1"/>
    <col min="6106" max="6106" width="5.28515625" style="140" customWidth="1"/>
    <col min="6107" max="6107" width="9.42578125" style="140" bestFit="1" customWidth="1"/>
    <col min="6108" max="6108" width="25.7109375" style="140" bestFit="1" customWidth="1"/>
    <col min="6109" max="6109" width="21" style="140" customWidth="1"/>
    <col min="6110" max="6110" width="20.28515625" style="140" customWidth="1"/>
    <col min="6111" max="6354" width="10.28515625" style="140"/>
    <col min="6355" max="6355" width="3.7109375" style="140" customWidth="1"/>
    <col min="6356" max="6356" width="5.28515625" style="140" customWidth="1"/>
    <col min="6357" max="6357" width="9.42578125" style="140" bestFit="1" customWidth="1"/>
    <col min="6358" max="6358" width="25.7109375" style="140" bestFit="1" customWidth="1"/>
    <col min="6359" max="6360" width="21.7109375" style="140" customWidth="1"/>
    <col min="6361" max="6361" width="10.28515625" style="140" customWidth="1"/>
    <col min="6362" max="6362" width="5.28515625" style="140" customWidth="1"/>
    <col min="6363" max="6363" width="9.42578125" style="140" bestFit="1" customWidth="1"/>
    <col min="6364" max="6364" width="25.7109375" style="140" bestFit="1" customWidth="1"/>
    <col min="6365" max="6365" width="21" style="140" customWidth="1"/>
    <col min="6366" max="6366" width="20.28515625" style="140" customWidth="1"/>
    <col min="6367" max="6610" width="10.28515625" style="140"/>
    <col min="6611" max="6611" width="3.7109375" style="140" customWidth="1"/>
    <col min="6612" max="6612" width="5.28515625" style="140" customWidth="1"/>
    <col min="6613" max="6613" width="9.42578125" style="140" bestFit="1" customWidth="1"/>
    <col min="6614" max="6614" width="25.7109375" style="140" bestFit="1" customWidth="1"/>
    <col min="6615" max="6616" width="21.7109375" style="140" customWidth="1"/>
    <col min="6617" max="6617" width="10.28515625" style="140" customWidth="1"/>
    <col min="6618" max="6618" width="5.28515625" style="140" customWidth="1"/>
    <col min="6619" max="6619" width="9.42578125" style="140" bestFit="1" customWidth="1"/>
    <col min="6620" max="6620" width="25.7109375" style="140" bestFit="1" customWidth="1"/>
    <col min="6621" max="6621" width="21" style="140" customWidth="1"/>
    <col min="6622" max="6622" width="20.28515625" style="140" customWidth="1"/>
    <col min="6623" max="6866" width="10.28515625" style="140"/>
    <col min="6867" max="6867" width="3.7109375" style="140" customWidth="1"/>
    <col min="6868" max="6868" width="5.28515625" style="140" customWidth="1"/>
    <col min="6869" max="6869" width="9.42578125" style="140" bestFit="1" customWidth="1"/>
    <col min="6870" max="6870" width="25.7109375" style="140" bestFit="1" customWidth="1"/>
    <col min="6871" max="6872" width="21.7109375" style="140" customWidth="1"/>
    <col min="6873" max="6873" width="10.28515625" style="140" customWidth="1"/>
    <col min="6874" max="6874" width="5.28515625" style="140" customWidth="1"/>
    <col min="6875" max="6875" width="9.42578125" style="140" bestFit="1" customWidth="1"/>
    <col min="6876" max="6876" width="25.7109375" style="140" bestFit="1" customWidth="1"/>
    <col min="6877" max="6877" width="21" style="140" customWidth="1"/>
    <col min="6878" max="6878" width="20.28515625" style="140" customWidth="1"/>
    <col min="6879" max="7122" width="10.28515625" style="140"/>
    <col min="7123" max="7123" width="3.7109375" style="140" customWidth="1"/>
    <col min="7124" max="7124" width="5.28515625" style="140" customWidth="1"/>
    <col min="7125" max="7125" width="9.42578125" style="140" bestFit="1" customWidth="1"/>
    <col min="7126" max="7126" width="25.7109375" style="140" bestFit="1" customWidth="1"/>
    <col min="7127" max="7128" width="21.7109375" style="140" customWidth="1"/>
    <col min="7129" max="7129" width="10.28515625" style="140" customWidth="1"/>
    <col min="7130" max="7130" width="5.28515625" style="140" customWidth="1"/>
    <col min="7131" max="7131" width="9.42578125" style="140" bestFit="1" customWidth="1"/>
    <col min="7132" max="7132" width="25.7109375" style="140" bestFit="1" customWidth="1"/>
    <col min="7133" max="7133" width="21" style="140" customWidth="1"/>
    <col min="7134" max="7134" width="20.28515625" style="140" customWidth="1"/>
    <col min="7135" max="7378" width="10.28515625" style="140"/>
    <col min="7379" max="7379" width="3.7109375" style="140" customWidth="1"/>
    <col min="7380" max="7380" width="5.28515625" style="140" customWidth="1"/>
    <col min="7381" max="7381" width="9.42578125" style="140" bestFit="1" customWidth="1"/>
    <col min="7382" max="7382" width="25.7109375" style="140" bestFit="1" customWidth="1"/>
    <col min="7383" max="7384" width="21.7109375" style="140" customWidth="1"/>
    <col min="7385" max="7385" width="10.28515625" style="140" customWidth="1"/>
    <col min="7386" max="7386" width="5.28515625" style="140" customWidth="1"/>
    <col min="7387" max="7387" width="9.42578125" style="140" bestFit="1" customWidth="1"/>
    <col min="7388" max="7388" width="25.7109375" style="140" bestFit="1" customWidth="1"/>
    <col min="7389" max="7389" width="21" style="140" customWidth="1"/>
    <col min="7390" max="7390" width="20.28515625" style="140" customWidth="1"/>
    <col min="7391" max="7634" width="10.28515625" style="140"/>
    <col min="7635" max="7635" width="3.7109375" style="140" customWidth="1"/>
    <col min="7636" max="7636" width="5.28515625" style="140" customWidth="1"/>
    <col min="7637" max="7637" width="9.42578125" style="140" bestFit="1" customWidth="1"/>
    <col min="7638" max="7638" width="25.7109375" style="140" bestFit="1" customWidth="1"/>
    <col min="7639" max="7640" width="21.7109375" style="140" customWidth="1"/>
    <col min="7641" max="7641" width="10.28515625" style="140" customWidth="1"/>
    <col min="7642" max="7642" width="5.28515625" style="140" customWidth="1"/>
    <col min="7643" max="7643" width="9.42578125" style="140" bestFit="1" customWidth="1"/>
    <col min="7644" max="7644" width="25.7109375" style="140" bestFit="1" customWidth="1"/>
    <col min="7645" max="7645" width="21" style="140" customWidth="1"/>
    <col min="7646" max="7646" width="20.28515625" style="140" customWidth="1"/>
    <col min="7647" max="7890" width="10.28515625" style="140"/>
    <col min="7891" max="7891" width="3.7109375" style="140" customWidth="1"/>
    <col min="7892" max="7892" width="5.28515625" style="140" customWidth="1"/>
    <col min="7893" max="7893" width="9.42578125" style="140" bestFit="1" customWidth="1"/>
    <col min="7894" max="7894" width="25.7109375" style="140" bestFit="1" customWidth="1"/>
    <col min="7895" max="7896" width="21.7109375" style="140" customWidth="1"/>
    <col min="7897" max="7897" width="10.28515625" style="140" customWidth="1"/>
    <col min="7898" max="7898" width="5.28515625" style="140" customWidth="1"/>
    <col min="7899" max="7899" width="9.42578125" style="140" bestFit="1" customWidth="1"/>
    <col min="7900" max="7900" width="25.7109375" style="140" bestFit="1" customWidth="1"/>
    <col min="7901" max="7901" width="21" style="140" customWidth="1"/>
    <col min="7902" max="7902" width="20.28515625" style="140" customWidth="1"/>
    <col min="7903" max="8146" width="10.28515625" style="140"/>
    <col min="8147" max="8147" width="3.7109375" style="140" customWidth="1"/>
    <col min="8148" max="8148" width="5.28515625" style="140" customWidth="1"/>
    <col min="8149" max="8149" width="9.42578125" style="140" bestFit="1" customWidth="1"/>
    <col min="8150" max="8150" width="25.7109375" style="140" bestFit="1" customWidth="1"/>
    <col min="8151" max="8152" width="21.7109375" style="140" customWidth="1"/>
    <col min="8153" max="8153" width="10.28515625" style="140" customWidth="1"/>
    <col min="8154" max="8154" width="5.28515625" style="140" customWidth="1"/>
    <col min="8155" max="8155" width="9.42578125" style="140" bestFit="1" customWidth="1"/>
    <col min="8156" max="8156" width="25.7109375" style="140" bestFit="1" customWidth="1"/>
    <col min="8157" max="8157" width="21" style="140" customWidth="1"/>
    <col min="8158" max="8158" width="20.28515625" style="140" customWidth="1"/>
    <col min="8159" max="8402" width="10.28515625" style="140"/>
    <col min="8403" max="8403" width="3.7109375" style="140" customWidth="1"/>
    <col min="8404" max="8404" width="5.28515625" style="140" customWidth="1"/>
    <col min="8405" max="8405" width="9.42578125" style="140" bestFit="1" customWidth="1"/>
    <col min="8406" max="8406" width="25.7109375" style="140" bestFit="1" customWidth="1"/>
    <col min="8407" max="8408" width="21.7109375" style="140" customWidth="1"/>
    <col min="8409" max="8409" width="10.28515625" style="140" customWidth="1"/>
    <col min="8410" max="8410" width="5.28515625" style="140" customWidth="1"/>
    <col min="8411" max="8411" width="9.42578125" style="140" bestFit="1" customWidth="1"/>
    <col min="8412" max="8412" width="25.7109375" style="140" bestFit="1" customWidth="1"/>
    <col min="8413" max="8413" width="21" style="140" customWidth="1"/>
    <col min="8414" max="8414" width="20.28515625" style="140" customWidth="1"/>
    <col min="8415" max="8658" width="10.28515625" style="140"/>
    <col min="8659" max="8659" width="3.7109375" style="140" customWidth="1"/>
    <col min="8660" max="8660" width="5.28515625" style="140" customWidth="1"/>
    <col min="8661" max="8661" width="9.42578125" style="140" bestFit="1" customWidth="1"/>
    <col min="8662" max="8662" width="25.7109375" style="140" bestFit="1" customWidth="1"/>
    <col min="8663" max="8664" width="21.7109375" style="140" customWidth="1"/>
    <col min="8665" max="8665" width="10.28515625" style="140" customWidth="1"/>
    <col min="8666" max="8666" width="5.28515625" style="140" customWidth="1"/>
    <col min="8667" max="8667" width="9.42578125" style="140" bestFit="1" customWidth="1"/>
    <col min="8668" max="8668" width="25.7109375" style="140" bestFit="1" customWidth="1"/>
    <col min="8669" max="8669" width="21" style="140" customWidth="1"/>
    <col min="8670" max="8670" width="20.28515625" style="140" customWidth="1"/>
    <col min="8671" max="8914" width="10.28515625" style="140"/>
    <col min="8915" max="8915" width="3.7109375" style="140" customWidth="1"/>
    <col min="8916" max="8916" width="5.28515625" style="140" customWidth="1"/>
    <col min="8917" max="8917" width="9.42578125" style="140" bestFit="1" customWidth="1"/>
    <col min="8918" max="8918" width="25.7109375" style="140" bestFit="1" customWidth="1"/>
    <col min="8919" max="8920" width="21.7109375" style="140" customWidth="1"/>
    <col min="8921" max="8921" width="10.28515625" style="140" customWidth="1"/>
    <col min="8922" max="8922" width="5.28515625" style="140" customWidth="1"/>
    <col min="8923" max="8923" width="9.42578125" style="140" bestFit="1" customWidth="1"/>
    <col min="8924" max="8924" width="25.7109375" style="140" bestFit="1" customWidth="1"/>
    <col min="8925" max="8925" width="21" style="140" customWidth="1"/>
    <col min="8926" max="8926" width="20.28515625" style="140" customWidth="1"/>
    <col min="8927" max="9170" width="10.28515625" style="140"/>
    <col min="9171" max="9171" width="3.7109375" style="140" customWidth="1"/>
    <col min="9172" max="9172" width="5.28515625" style="140" customWidth="1"/>
    <col min="9173" max="9173" width="9.42578125" style="140" bestFit="1" customWidth="1"/>
    <col min="9174" max="9174" width="25.7109375" style="140" bestFit="1" customWidth="1"/>
    <col min="9175" max="9176" width="21.7109375" style="140" customWidth="1"/>
    <col min="9177" max="9177" width="10.28515625" style="140" customWidth="1"/>
    <col min="9178" max="9178" width="5.28515625" style="140" customWidth="1"/>
    <col min="9179" max="9179" width="9.42578125" style="140" bestFit="1" customWidth="1"/>
    <col min="9180" max="9180" width="25.7109375" style="140" bestFit="1" customWidth="1"/>
    <col min="9181" max="9181" width="21" style="140" customWidth="1"/>
    <col min="9182" max="9182" width="20.28515625" style="140" customWidth="1"/>
    <col min="9183" max="9426" width="10.28515625" style="140"/>
    <col min="9427" max="9427" width="3.7109375" style="140" customWidth="1"/>
    <col min="9428" max="9428" width="5.28515625" style="140" customWidth="1"/>
    <col min="9429" max="9429" width="9.42578125" style="140" bestFit="1" customWidth="1"/>
    <col min="9430" max="9430" width="25.7109375" style="140" bestFit="1" customWidth="1"/>
    <col min="9431" max="9432" width="21.7109375" style="140" customWidth="1"/>
    <col min="9433" max="9433" width="10.28515625" style="140" customWidth="1"/>
    <col min="9434" max="9434" width="5.28515625" style="140" customWidth="1"/>
    <col min="9435" max="9435" width="9.42578125" style="140" bestFit="1" customWidth="1"/>
    <col min="9436" max="9436" width="25.7109375" style="140" bestFit="1" customWidth="1"/>
    <col min="9437" max="9437" width="21" style="140" customWidth="1"/>
    <col min="9438" max="9438" width="20.28515625" style="140" customWidth="1"/>
    <col min="9439" max="9682" width="10.28515625" style="140"/>
    <col min="9683" max="9683" width="3.7109375" style="140" customWidth="1"/>
    <col min="9684" max="9684" width="5.28515625" style="140" customWidth="1"/>
    <col min="9685" max="9685" width="9.42578125" style="140" bestFit="1" customWidth="1"/>
    <col min="9686" max="9686" width="25.7109375" style="140" bestFit="1" customWidth="1"/>
    <col min="9687" max="9688" width="21.7109375" style="140" customWidth="1"/>
    <col min="9689" max="9689" width="10.28515625" style="140" customWidth="1"/>
    <col min="9690" max="9690" width="5.28515625" style="140" customWidth="1"/>
    <col min="9691" max="9691" width="9.42578125" style="140" bestFit="1" customWidth="1"/>
    <col min="9692" max="9692" width="25.7109375" style="140" bestFit="1" customWidth="1"/>
    <col min="9693" max="9693" width="21" style="140" customWidth="1"/>
    <col min="9694" max="9694" width="20.28515625" style="140" customWidth="1"/>
    <col min="9695" max="9938" width="10.28515625" style="140"/>
    <col min="9939" max="9939" width="3.7109375" style="140" customWidth="1"/>
    <col min="9940" max="9940" width="5.28515625" style="140" customWidth="1"/>
    <col min="9941" max="9941" width="9.42578125" style="140" bestFit="1" customWidth="1"/>
    <col min="9942" max="9942" width="25.7109375" style="140" bestFit="1" customWidth="1"/>
    <col min="9943" max="9944" width="21.7109375" style="140" customWidth="1"/>
    <col min="9945" max="9945" width="10.28515625" style="140" customWidth="1"/>
    <col min="9946" max="9946" width="5.28515625" style="140" customWidth="1"/>
    <col min="9947" max="9947" width="9.42578125" style="140" bestFit="1" customWidth="1"/>
    <col min="9948" max="9948" width="25.7109375" style="140" bestFit="1" customWidth="1"/>
    <col min="9949" max="9949" width="21" style="140" customWidth="1"/>
    <col min="9950" max="9950" width="20.28515625" style="140" customWidth="1"/>
    <col min="9951" max="10194" width="10.28515625" style="140"/>
    <col min="10195" max="10195" width="3.7109375" style="140" customWidth="1"/>
    <col min="10196" max="10196" width="5.28515625" style="140" customWidth="1"/>
    <col min="10197" max="10197" width="9.42578125" style="140" bestFit="1" customWidth="1"/>
    <col min="10198" max="10198" width="25.7109375" style="140" bestFit="1" customWidth="1"/>
    <col min="10199" max="10200" width="21.7109375" style="140" customWidth="1"/>
    <col min="10201" max="10201" width="10.28515625" style="140" customWidth="1"/>
    <col min="10202" max="10202" width="5.28515625" style="140" customWidth="1"/>
    <col min="10203" max="10203" width="9.42578125" style="140" bestFit="1" customWidth="1"/>
    <col min="10204" max="10204" width="25.7109375" style="140" bestFit="1" customWidth="1"/>
    <col min="10205" max="10205" width="21" style="140" customWidth="1"/>
    <col min="10206" max="10206" width="20.28515625" style="140" customWidth="1"/>
    <col min="10207" max="10450" width="10.28515625" style="140"/>
    <col min="10451" max="10451" width="3.7109375" style="140" customWidth="1"/>
    <col min="10452" max="10452" width="5.28515625" style="140" customWidth="1"/>
    <col min="10453" max="10453" width="9.42578125" style="140" bestFit="1" customWidth="1"/>
    <col min="10454" max="10454" width="25.7109375" style="140" bestFit="1" customWidth="1"/>
    <col min="10455" max="10456" width="21.7109375" style="140" customWidth="1"/>
    <col min="10457" max="10457" width="10.28515625" style="140" customWidth="1"/>
    <col min="10458" max="10458" width="5.28515625" style="140" customWidth="1"/>
    <col min="10459" max="10459" width="9.42578125" style="140" bestFit="1" customWidth="1"/>
    <col min="10460" max="10460" width="25.7109375" style="140" bestFit="1" customWidth="1"/>
    <col min="10461" max="10461" width="21" style="140" customWidth="1"/>
    <col min="10462" max="10462" width="20.28515625" style="140" customWidth="1"/>
    <col min="10463" max="10706" width="10.28515625" style="140"/>
    <col min="10707" max="10707" width="3.7109375" style="140" customWidth="1"/>
    <col min="10708" max="10708" width="5.28515625" style="140" customWidth="1"/>
    <col min="10709" max="10709" width="9.42578125" style="140" bestFit="1" customWidth="1"/>
    <col min="10710" max="10710" width="25.7109375" style="140" bestFit="1" customWidth="1"/>
    <col min="10711" max="10712" width="21.7109375" style="140" customWidth="1"/>
    <col min="10713" max="10713" width="10.28515625" style="140" customWidth="1"/>
    <col min="10714" max="10714" width="5.28515625" style="140" customWidth="1"/>
    <col min="10715" max="10715" width="9.42578125" style="140" bestFit="1" customWidth="1"/>
    <col min="10716" max="10716" width="25.7109375" style="140" bestFit="1" customWidth="1"/>
    <col min="10717" max="10717" width="21" style="140" customWidth="1"/>
    <col min="10718" max="10718" width="20.28515625" style="140" customWidth="1"/>
    <col min="10719" max="10962" width="10.28515625" style="140"/>
    <col min="10963" max="10963" width="3.7109375" style="140" customWidth="1"/>
    <col min="10964" max="10964" width="5.28515625" style="140" customWidth="1"/>
    <col min="10965" max="10965" width="9.42578125" style="140" bestFit="1" customWidth="1"/>
    <col min="10966" max="10966" width="25.7109375" style="140" bestFit="1" customWidth="1"/>
    <col min="10967" max="10968" width="21.7109375" style="140" customWidth="1"/>
    <col min="10969" max="10969" width="10.28515625" style="140" customWidth="1"/>
    <col min="10970" max="10970" width="5.28515625" style="140" customWidth="1"/>
    <col min="10971" max="10971" width="9.42578125" style="140" bestFit="1" customWidth="1"/>
    <col min="10972" max="10972" width="25.7109375" style="140" bestFit="1" customWidth="1"/>
    <col min="10973" max="10973" width="21" style="140" customWidth="1"/>
    <col min="10974" max="10974" width="20.28515625" style="140" customWidth="1"/>
    <col min="10975" max="11218" width="10.28515625" style="140"/>
    <col min="11219" max="11219" width="3.7109375" style="140" customWidth="1"/>
    <col min="11220" max="11220" width="5.28515625" style="140" customWidth="1"/>
    <col min="11221" max="11221" width="9.42578125" style="140" bestFit="1" customWidth="1"/>
    <col min="11222" max="11222" width="25.7109375" style="140" bestFit="1" customWidth="1"/>
    <col min="11223" max="11224" width="21.7109375" style="140" customWidth="1"/>
    <col min="11225" max="11225" width="10.28515625" style="140" customWidth="1"/>
    <col min="11226" max="11226" width="5.28515625" style="140" customWidth="1"/>
    <col min="11227" max="11227" width="9.42578125" style="140" bestFit="1" customWidth="1"/>
    <col min="11228" max="11228" width="25.7109375" style="140" bestFit="1" customWidth="1"/>
    <col min="11229" max="11229" width="21" style="140" customWidth="1"/>
    <col min="11230" max="11230" width="20.28515625" style="140" customWidth="1"/>
    <col min="11231" max="11474" width="10.28515625" style="140"/>
    <col min="11475" max="11475" width="3.7109375" style="140" customWidth="1"/>
    <col min="11476" max="11476" width="5.28515625" style="140" customWidth="1"/>
    <col min="11477" max="11477" width="9.42578125" style="140" bestFit="1" customWidth="1"/>
    <col min="11478" max="11478" width="25.7109375" style="140" bestFit="1" customWidth="1"/>
    <col min="11479" max="11480" width="21.7109375" style="140" customWidth="1"/>
    <col min="11481" max="11481" width="10.28515625" style="140" customWidth="1"/>
    <col min="11482" max="11482" width="5.28515625" style="140" customWidth="1"/>
    <col min="11483" max="11483" width="9.42578125" style="140" bestFit="1" customWidth="1"/>
    <col min="11484" max="11484" width="25.7109375" style="140" bestFit="1" customWidth="1"/>
    <col min="11485" max="11485" width="21" style="140" customWidth="1"/>
    <col min="11486" max="11486" width="20.28515625" style="140" customWidth="1"/>
    <col min="11487" max="11730" width="10.28515625" style="140"/>
    <col min="11731" max="11731" width="3.7109375" style="140" customWidth="1"/>
    <col min="11732" max="11732" width="5.28515625" style="140" customWidth="1"/>
    <col min="11733" max="11733" width="9.42578125" style="140" bestFit="1" customWidth="1"/>
    <col min="11734" max="11734" width="25.7109375" style="140" bestFit="1" customWidth="1"/>
    <col min="11735" max="11736" width="21.7109375" style="140" customWidth="1"/>
    <col min="11737" max="11737" width="10.28515625" style="140" customWidth="1"/>
    <col min="11738" max="11738" width="5.28515625" style="140" customWidth="1"/>
    <col min="11739" max="11739" width="9.42578125" style="140" bestFit="1" customWidth="1"/>
    <col min="11740" max="11740" width="25.7109375" style="140" bestFit="1" customWidth="1"/>
    <col min="11741" max="11741" width="21" style="140" customWidth="1"/>
    <col min="11742" max="11742" width="20.28515625" style="140" customWidth="1"/>
    <col min="11743" max="11986" width="10.28515625" style="140"/>
    <col min="11987" max="11987" width="3.7109375" style="140" customWidth="1"/>
    <col min="11988" max="11988" width="5.28515625" style="140" customWidth="1"/>
    <col min="11989" max="11989" width="9.42578125" style="140" bestFit="1" customWidth="1"/>
    <col min="11990" max="11990" width="25.7109375" style="140" bestFit="1" customWidth="1"/>
    <col min="11991" max="11992" width="21.7109375" style="140" customWidth="1"/>
    <col min="11993" max="11993" width="10.28515625" style="140" customWidth="1"/>
    <col min="11994" max="11994" width="5.28515625" style="140" customWidth="1"/>
    <col min="11995" max="11995" width="9.42578125" style="140" bestFit="1" customWidth="1"/>
    <col min="11996" max="11996" width="25.7109375" style="140" bestFit="1" customWidth="1"/>
    <col min="11997" max="11997" width="21" style="140" customWidth="1"/>
    <col min="11998" max="11998" width="20.28515625" style="140" customWidth="1"/>
    <col min="11999" max="12242" width="10.28515625" style="140"/>
    <col min="12243" max="12243" width="3.7109375" style="140" customWidth="1"/>
    <col min="12244" max="12244" width="5.28515625" style="140" customWidth="1"/>
    <col min="12245" max="12245" width="9.42578125" style="140" bestFit="1" customWidth="1"/>
    <col min="12246" max="12246" width="25.7109375" style="140" bestFit="1" customWidth="1"/>
    <col min="12247" max="12248" width="21.7109375" style="140" customWidth="1"/>
    <col min="12249" max="12249" width="10.28515625" style="140" customWidth="1"/>
    <col min="12250" max="12250" width="5.28515625" style="140" customWidth="1"/>
    <col min="12251" max="12251" width="9.42578125" style="140" bestFit="1" customWidth="1"/>
    <col min="12252" max="12252" width="25.7109375" style="140" bestFit="1" customWidth="1"/>
    <col min="12253" max="12253" width="21" style="140" customWidth="1"/>
    <col min="12254" max="12254" width="20.28515625" style="140" customWidth="1"/>
    <col min="12255" max="12498" width="10.28515625" style="140"/>
    <col min="12499" max="12499" width="3.7109375" style="140" customWidth="1"/>
    <col min="12500" max="12500" width="5.28515625" style="140" customWidth="1"/>
    <col min="12501" max="12501" width="9.42578125" style="140" bestFit="1" customWidth="1"/>
    <col min="12502" max="12502" width="25.7109375" style="140" bestFit="1" customWidth="1"/>
    <col min="12503" max="12504" width="21.7109375" style="140" customWidth="1"/>
    <col min="12505" max="12505" width="10.28515625" style="140" customWidth="1"/>
    <col min="12506" max="12506" width="5.28515625" style="140" customWidth="1"/>
    <col min="12507" max="12507" width="9.42578125" style="140" bestFit="1" customWidth="1"/>
    <col min="12508" max="12508" width="25.7109375" style="140" bestFit="1" customWidth="1"/>
    <col min="12509" max="12509" width="21" style="140" customWidth="1"/>
    <col min="12510" max="12510" width="20.28515625" style="140" customWidth="1"/>
    <col min="12511" max="12754" width="10.28515625" style="140"/>
    <col min="12755" max="12755" width="3.7109375" style="140" customWidth="1"/>
    <col min="12756" max="12756" width="5.28515625" style="140" customWidth="1"/>
    <col min="12757" max="12757" width="9.42578125" style="140" bestFit="1" customWidth="1"/>
    <col min="12758" max="12758" width="25.7109375" style="140" bestFit="1" customWidth="1"/>
    <col min="12759" max="12760" width="21.7109375" style="140" customWidth="1"/>
    <col min="12761" max="12761" width="10.28515625" style="140" customWidth="1"/>
    <col min="12762" max="12762" width="5.28515625" style="140" customWidth="1"/>
    <col min="12763" max="12763" width="9.42578125" style="140" bestFit="1" customWidth="1"/>
    <col min="12764" max="12764" width="25.7109375" style="140" bestFit="1" customWidth="1"/>
    <col min="12765" max="12765" width="21" style="140" customWidth="1"/>
    <col min="12766" max="12766" width="20.28515625" style="140" customWidth="1"/>
    <col min="12767" max="13010" width="10.28515625" style="140"/>
    <col min="13011" max="13011" width="3.7109375" style="140" customWidth="1"/>
    <col min="13012" max="13012" width="5.28515625" style="140" customWidth="1"/>
    <col min="13013" max="13013" width="9.42578125" style="140" bestFit="1" customWidth="1"/>
    <col min="13014" max="13014" width="25.7109375" style="140" bestFit="1" customWidth="1"/>
    <col min="13015" max="13016" width="21.7109375" style="140" customWidth="1"/>
    <col min="13017" max="13017" width="10.28515625" style="140" customWidth="1"/>
    <col min="13018" max="13018" width="5.28515625" style="140" customWidth="1"/>
    <col min="13019" max="13019" width="9.42578125" style="140" bestFit="1" customWidth="1"/>
    <col min="13020" max="13020" width="25.7109375" style="140" bestFit="1" customWidth="1"/>
    <col min="13021" max="13021" width="21" style="140" customWidth="1"/>
    <col min="13022" max="13022" width="20.28515625" style="140" customWidth="1"/>
    <col min="13023" max="13266" width="10.28515625" style="140"/>
    <col min="13267" max="13267" width="3.7109375" style="140" customWidth="1"/>
    <col min="13268" max="13268" width="5.28515625" style="140" customWidth="1"/>
    <col min="13269" max="13269" width="9.42578125" style="140" bestFit="1" customWidth="1"/>
    <col min="13270" max="13270" width="25.7109375" style="140" bestFit="1" customWidth="1"/>
    <col min="13271" max="13272" width="21.7109375" style="140" customWidth="1"/>
    <col min="13273" max="13273" width="10.28515625" style="140" customWidth="1"/>
    <col min="13274" max="13274" width="5.28515625" style="140" customWidth="1"/>
    <col min="13275" max="13275" width="9.42578125" style="140" bestFit="1" customWidth="1"/>
    <col min="13276" max="13276" width="25.7109375" style="140" bestFit="1" customWidth="1"/>
    <col min="13277" max="13277" width="21" style="140" customWidth="1"/>
    <col min="13278" max="13278" width="20.28515625" style="140" customWidth="1"/>
    <col min="13279" max="13522" width="10.28515625" style="140"/>
    <col min="13523" max="13523" width="3.7109375" style="140" customWidth="1"/>
    <col min="13524" max="13524" width="5.28515625" style="140" customWidth="1"/>
    <col min="13525" max="13525" width="9.42578125" style="140" bestFit="1" customWidth="1"/>
    <col min="13526" max="13526" width="25.7109375" style="140" bestFit="1" customWidth="1"/>
    <col min="13527" max="13528" width="21.7109375" style="140" customWidth="1"/>
    <col min="13529" max="13529" width="10.28515625" style="140" customWidth="1"/>
    <col min="13530" max="13530" width="5.28515625" style="140" customWidth="1"/>
    <col min="13531" max="13531" width="9.42578125" style="140" bestFit="1" customWidth="1"/>
    <col min="13532" max="13532" width="25.7109375" style="140" bestFit="1" customWidth="1"/>
    <col min="13533" max="13533" width="21" style="140" customWidth="1"/>
    <col min="13534" max="13534" width="20.28515625" style="140" customWidth="1"/>
    <col min="13535" max="13778" width="10.28515625" style="140"/>
    <col min="13779" max="13779" width="3.7109375" style="140" customWidth="1"/>
    <col min="13780" max="13780" width="5.28515625" style="140" customWidth="1"/>
    <col min="13781" max="13781" width="9.42578125" style="140" bestFit="1" customWidth="1"/>
    <col min="13782" max="13782" width="25.7109375" style="140" bestFit="1" customWidth="1"/>
    <col min="13783" max="13784" width="21.7109375" style="140" customWidth="1"/>
    <col min="13785" max="13785" width="10.28515625" style="140" customWidth="1"/>
    <col min="13786" max="13786" width="5.28515625" style="140" customWidth="1"/>
    <col min="13787" max="13787" width="9.42578125" style="140" bestFit="1" customWidth="1"/>
    <col min="13788" max="13788" width="25.7109375" style="140" bestFit="1" customWidth="1"/>
    <col min="13789" max="13789" width="21" style="140" customWidth="1"/>
    <col min="13790" max="13790" width="20.28515625" style="140" customWidth="1"/>
    <col min="13791" max="14034" width="10.28515625" style="140"/>
    <col min="14035" max="14035" width="3.7109375" style="140" customWidth="1"/>
    <col min="14036" max="14036" width="5.28515625" style="140" customWidth="1"/>
    <col min="14037" max="14037" width="9.42578125" style="140" bestFit="1" customWidth="1"/>
    <col min="14038" max="14038" width="25.7109375" style="140" bestFit="1" customWidth="1"/>
    <col min="14039" max="14040" width="21.7109375" style="140" customWidth="1"/>
    <col min="14041" max="14041" width="10.28515625" style="140" customWidth="1"/>
    <col min="14042" max="14042" width="5.28515625" style="140" customWidth="1"/>
    <col min="14043" max="14043" width="9.42578125" style="140" bestFit="1" customWidth="1"/>
    <col min="14044" max="14044" width="25.7109375" style="140" bestFit="1" customWidth="1"/>
    <col min="14045" max="14045" width="21" style="140" customWidth="1"/>
    <col min="14046" max="14046" width="20.28515625" style="140" customWidth="1"/>
    <col min="14047" max="14290" width="10.28515625" style="140"/>
    <col min="14291" max="14291" width="3.7109375" style="140" customWidth="1"/>
    <col min="14292" max="14292" width="5.28515625" style="140" customWidth="1"/>
    <col min="14293" max="14293" width="9.42578125" style="140" bestFit="1" customWidth="1"/>
    <col min="14294" max="14294" width="25.7109375" style="140" bestFit="1" customWidth="1"/>
    <col min="14295" max="14296" width="21.7109375" style="140" customWidth="1"/>
    <col min="14297" max="14297" width="10.28515625" style="140" customWidth="1"/>
    <col min="14298" max="14298" width="5.28515625" style="140" customWidth="1"/>
    <col min="14299" max="14299" width="9.42578125" style="140" bestFit="1" customWidth="1"/>
    <col min="14300" max="14300" width="25.7109375" style="140" bestFit="1" customWidth="1"/>
    <col min="14301" max="14301" width="21" style="140" customWidth="1"/>
    <col min="14302" max="14302" width="20.28515625" style="140" customWidth="1"/>
    <col min="14303" max="14546" width="10.28515625" style="140"/>
    <col min="14547" max="14547" width="3.7109375" style="140" customWidth="1"/>
    <col min="14548" max="14548" width="5.28515625" style="140" customWidth="1"/>
    <col min="14549" max="14549" width="9.42578125" style="140" bestFit="1" customWidth="1"/>
    <col min="14550" max="14550" width="25.7109375" style="140" bestFit="1" customWidth="1"/>
    <col min="14551" max="14552" width="21.7109375" style="140" customWidth="1"/>
    <col min="14553" max="14553" width="10.28515625" style="140" customWidth="1"/>
    <col min="14554" max="14554" width="5.28515625" style="140" customWidth="1"/>
    <col min="14555" max="14555" width="9.42578125" style="140" bestFit="1" customWidth="1"/>
    <col min="14556" max="14556" width="25.7109375" style="140" bestFit="1" customWidth="1"/>
    <col min="14557" max="14557" width="21" style="140" customWidth="1"/>
    <col min="14558" max="14558" width="20.28515625" style="140" customWidth="1"/>
    <col min="14559" max="14802" width="10.28515625" style="140"/>
    <col min="14803" max="14803" width="3.7109375" style="140" customWidth="1"/>
    <col min="14804" max="14804" width="5.28515625" style="140" customWidth="1"/>
    <col min="14805" max="14805" width="9.42578125" style="140" bestFit="1" customWidth="1"/>
    <col min="14806" max="14806" width="25.7109375" style="140" bestFit="1" customWidth="1"/>
    <col min="14807" max="14808" width="21.7109375" style="140" customWidth="1"/>
    <col min="14809" max="14809" width="10.28515625" style="140" customWidth="1"/>
    <col min="14810" max="14810" width="5.28515625" style="140" customWidth="1"/>
    <col min="14811" max="14811" width="9.42578125" style="140" bestFit="1" customWidth="1"/>
    <col min="14812" max="14812" width="25.7109375" style="140" bestFit="1" customWidth="1"/>
    <col min="14813" max="14813" width="21" style="140" customWidth="1"/>
    <col min="14814" max="14814" width="20.28515625" style="140" customWidth="1"/>
    <col min="14815" max="15058" width="10.28515625" style="140"/>
    <col min="15059" max="15059" width="3.7109375" style="140" customWidth="1"/>
    <col min="15060" max="15060" width="5.28515625" style="140" customWidth="1"/>
    <col min="15061" max="15061" width="9.42578125" style="140" bestFit="1" customWidth="1"/>
    <col min="15062" max="15062" width="25.7109375" style="140" bestFit="1" customWidth="1"/>
    <col min="15063" max="15064" width="21.7109375" style="140" customWidth="1"/>
    <col min="15065" max="15065" width="10.28515625" style="140" customWidth="1"/>
    <col min="15066" max="15066" width="5.28515625" style="140" customWidth="1"/>
    <col min="15067" max="15067" width="9.42578125" style="140" bestFit="1" customWidth="1"/>
    <col min="15068" max="15068" width="25.7109375" style="140" bestFit="1" customWidth="1"/>
    <col min="15069" max="15069" width="21" style="140" customWidth="1"/>
    <col min="15070" max="15070" width="20.28515625" style="140" customWidth="1"/>
    <col min="15071" max="15314" width="10.28515625" style="140"/>
    <col min="15315" max="15315" width="3.7109375" style="140" customWidth="1"/>
    <col min="15316" max="15316" width="5.28515625" style="140" customWidth="1"/>
    <col min="15317" max="15317" width="9.42578125" style="140" bestFit="1" customWidth="1"/>
    <col min="15318" max="15318" width="25.7109375" style="140" bestFit="1" customWidth="1"/>
    <col min="15319" max="15320" width="21.7109375" style="140" customWidth="1"/>
    <col min="15321" max="15321" width="10.28515625" style="140" customWidth="1"/>
    <col min="15322" max="15322" width="5.28515625" style="140" customWidth="1"/>
    <col min="15323" max="15323" width="9.42578125" style="140" bestFit="1" customWidth="1"/>
    <col min="15324" max="15324" width="25.7109375" style="140" bestFit="1" customWidth="1"/>
    <col min="15325" max="15325" width="21" style="140" customWidth="1"/>
    <col min="15326" max="15326" width="20.28515625" style="140" customWidth="1"/>
    <col min="15327" max="15570" width="10.28515625" style="140"/>
    <col min="15571" max="15571" width="3.7109375" style="140" customWidth="1"/>
    <col min="15572" max="15572" width="5.28515625" style="140" customWidth="1"/>
    <col min="15573" max="15573" width="9.42578125" style="140" bestFit="1" customWidth="1"/>
    <col min="15574" max="15574" width="25.7109375" style="140" bestFit="1" customWidth="1"/>
    <col min="15575" max="15576" width="21.7109375" style="140" customWidth="1"/>
    <col min="15577" max="15577" width="10.28515625" style="140" customWidth="1"/>
    <col min="15578" max="15578" width="5.28515625" style="140" customWidth="1"/>
    <col min="15579" max="15579" width="9.42578125" style="140" bestFit="1" customWidth="1"/>
    <col min="15580" max="15580" width="25.7109375" style="140" bestFit="1" customWidth="1"/>
    <col min="15581" max="15581" width="21" style="140" customWidth="1"/>
    <col min="15582" max="15582" width="20.28515625" style="140" customWidth="1"/>
    <col min="15583" max="15826" width="10.28515625" style="140"/>
    <col min="15827" max="15827" width="3.7109375" style="140" customWidth="1"/>
    <col min="15828" max="15828" width="5.28515625" style="140" customWidth="1"/>
    <col min="15829" max="15829" width="9.42578125" style="140" bestFit="1" customWidth="1"/>
    <col min="15830" max="15830" width="25.7109375" style="140" bestFit="1" customWidth="1"/>
    <col min="15831" max="15832" width="21.7109375" style="140" customWidth="1"/>
    <col min="15833" max="15833" width="10.28515625" style="140" customWidth="1"/>
    <col min="15834" max="15834" width="5.28515625" style="140" customWidth="1"/>
    <col min="15835" max="15835" width="9.42578125" style="140" bestFit="1" customWidth="1"/>
    <col min="15836" max="15836" width="25.7109375" style="140" bestFit="1" customWidth="1"/>
    <col min="15837" max="15837" width="21" style="140" customWidth="1"/>
    <col min="15838" max="15838" width="20.28515625" style="140" customWidth="1"/>
    <col min="15839" max="16082" width="10.28515625" style="140"/>
    <col min="16083" max="16083" width="3.7109375" style="140" customWidth="1"/>
    <col min="16084" max="16084" width="5.28515625" style="140" customWidth="1"/>
    <col min="16085" max="16085" width="9.42578125" style="140" bestFit="1" customWidth="1"/>
    <col min="16086" max="16086" width="25.7109375" style="140" bestFit="1" customWidth="1"/>
    <col min="16087" max="16088" width="21.7109375" style="140" customWidth="1"/>
    <col min="16089" max="16089" width="10.28515625" style="140" customWidth="1"/>
    <col min="16090" max="16090" width="5.28515625" style="140" customWidth="1"/>
    <col min="16091" max="16091" width="9.42578125" style="140" bestFit="1" customWidth="1"/>
    <col min="16092" max="16092" width="25.7109375" style="140" bestFit="1" customWidth="1"/>
    <col min="16093" max="16093" width="21" style="140" customWidth="1"/>
    <col min="16094" max="16094" width="20.28515625" style="140" customWidth="1"/>
    <col min="16095" max="16384" width="10.28515625" style="140"/>
  </cols>
  <sheetData>
    <row r="1" spans="2:11">
      <c r="B1" s="139"/>
      <c r="C1" s="139"/>
      <c r="D1" s="139"/>
      <c r="E1" s="139"/>
      <c r="F1" s="139"/>
    </row>
    <row r="2" spans="2:11" ht="18.75">
      <c r="B2" s="139"/>
      <c r="C2" s="141" t="s">
        <v>130</v>
      </c>
      <c r="D2" s="141"/>
      <c r="E2" s="141"/>
      <c r="F2" s="141"/>
    </row>
    <row r="3" spans="2:11" ht="18.75">
      <c r="B3" s="139"/>
      <c r="C3" s="141" t="s">
        <v>372</v>
      </c>
      <c r="D3" s="141"/>
      <c r="E3" s="141"/>
      <c r="F3" s="141"/>
    </row>
    <row r="4" spans="2:11">
      <c r="B4" s="139"/>
      <c r="C4" s="561"/>
      <c r="D4" s="561"/>
      <c r="E4" s="139"/>
      <c r="F4" s="139"/>
    </row>
    <row r="5" spans="2:11" ht="30">
      <c r="B5" s="139"/>
      <c r="C5" s="562" t="s">
        <v>108</v>
      </c>
      <c r="D5" s="562" t="s">
        <v>109</v>
      </c>
      <c r="E5" s="772" t="s">
        <v>2047</v>
      </c>
      <c r="F5" s="772" t="s">
        <v>2051</v>
      </c>
    </row>
    <row r="6" spans="2:11">
      <c r="B6" s="139"/>
      <c r="C6" s="948" t="s">
        <v>889</v>
      </c>
      <c r="D6" s="945" t="s">
        <v>1369</v>
      </c>
      <c r="E6" s="947">
        <v>14508</v>
      </c>
      <c r="F6" s="947">
        <v>14414</v>
      </c>
      <c r="H6" s="914"/>
      <c r="I6" s="914"/>
      <c r="J6" s="915"/>
      <c r="K6" s="915"/>
    </row>
    <row r="7" spans="2:11">
      <c r="B7" s="139"/>
      <c r="C7" s="948" t="s">
        <v>663</v>
      </c>
      <c r="D7" s="945" t="s">
        <v>1370</v>
      </c>
      <c r="E7" s="947">
        <v>13483</v>
      </c>
      <c r="F7" s="947">
        <v>13998</v>
      </c>
      <c r="H7" s="914"/>
      <c r="I7" s="914"/>
      <c r="J7" s="915"/>
      <c r="K7" s="915"/>
    </row>
    <row r="8" spans="2:11">
      <c r="B8" s="139"/>
      <c r="C8" s="948" t="s">
        <v>664</v>
      </c>
      <c r="D8" s="945" t="s">
        <v>1371</v>
      </c>
      <c r="E8" s="947">
        <v>13609</v>
      </c>
      <c r="F8" s="947">
        <v>14242</v>
      </c>
      <c r="H8" s="914"/>
      <c r="I8" s="914"/>
      <c r="J8" s="915"/>
      <c r="K8" s="915"/>
    </row>
    <row r="9" spans="2:11">
      <c r="B9" s="139"/>
      <c r="C9" s="948" t="s">
        <v>665</v>
      </c>
      <c r="D9" s="945" t="s">
        <v>1372</v>
      </c>
      <c r="E9" s="947">
        <v>13338</v>
      </c>
      <c r="F9" s="947">
        <v>14425</v>
      </c>
      <c r="H9" s="914"/>
      <c r="I9" s="914"/>
      <c r="J9" s="915"/>
      <c r="K9" s="915"/>
    </row>
    <row r="10" spans="2:11">
      <c r="B10" s="139"/>
      <c r="C10" s="948" t="s">
        <v>666</v>
      </c>
      <c r="D10" s="945" t="s">
        <v>1373</v>
      </c>
      <c r="E10" s="947">
        <v>12238</v>
      </c>
      <c r="F10" s="947">
        <v>12666</v>
      </c>
      <c r="H10" s="914"/>
      <c r="I10" s="914"/>
      <c r="J10" s="915"/>
      <c r="K10" s="915"/>
    </row>
    <row r="11" spans="2:11">
      <c r="B11" s="139"/>
      <c r="C11" s="948" t="s">
        <v>667</v>
      </c>
      <c r="D11" s="945" t="s">
        <v>1374</v>
      </c>
      <c r="E11" s="947">
        <v>17297</v>
      </c>
      <c r="F11" s="947">
        <v>18150</v>
      </c>
      <c r="H11" s="914"/>
      <c r="I11" s="914"/>
      <c r="J11" s="915"/>
      <c r="K11" s="915"/>
    </row>
    <row r="12" spans="2:11">
      <c r="B12" s="139"/>
      <c r="C12" s="948" t="s">
        <v>668</v>
      </c>
      <c r="D12" s="945" t="s">
        <v>1375</v>
      </c>
      <c r="E12" s="947">
        <v>11437</v>
      </c>
      <c r="F12" s="947">
        <v>11342</v>
      </c>
      <c r="H12" s="914"/>
      <c r="I12" s="914"/>
      <c r="J12" s="915"/>
      <c r="K12" s="915"/>
    </row>
    <row r="13" spans="2:11">
      <c r="B13" s="139"/>
      <c r="C13" s="948" t="s">
        <v>669</v>
      </c>
      <c r="D13" s="945" t="s">
        <v>1376</v>
      </c>
      <c r="E13" s="947">
        <v>11278</v>
      </c>
      <c r="F13" s="947">
        <v>11552</v>
      </c>
      <c r="H13" s="914"/>
      <c r="I13" s="914"/>
      <c r="J13" s="915"/>
      <c r="K13" s="915"/>
    </row>
    <row r="14" spans="2:11">
      <c r="B14" s="139"/>
      <c r="C14" s="948" t="s">
        <v>670</v>
      </c>
      <c r="D14" s="945" t="s">
        <v>1377</v>
      </c>
      <c r="E14" s="947">
        <v>13225</v>
      </c>
      <c r="F14" s="947">
        <v>13582</v>
      </c>
      <c r="H14" s="914"/>
      <c r="I14" s="914"/>
      <c r="J14" s="915"/>
      <c r="K14" s="915"/>
    </row>
    <row r="15" spans="2:11">
      <c r="B15" s="139"/>
      <c r="C15" s="948" t="s">
        <v>671</v>
      </c>
      <c r="D15" s="945" t="s">
        <v>1378</v>
      </c>
      <c r="E15" s="947">
        <v>13883</v>
      </c>
      <c r="F15" s="947">
        <v>14211</v>
      </c>
      <c r="H15" s="914"/>
      <c r="I15" s="914"/>
      <c r="J15" s="915"/>
      <c r="K15" s="915"/>
    </row>
    <row r="16" spans="2:11">
      <c r="B16" s="139"/>
      <c r="C16" s="948" t="s">
        <v>672</v>
      </c>
      <c r="D16" s="945" t="s">
        <v>1379</v>
      </c>
      <c r="E16" s="947">
        <v>13454</v>
      </c>
      <c r="F16" s="947">
        <v>13846</v>
      </c>
      <c r="H16" s="914"/>
      <c r="I16" s="914"/>
      <c r="J16" s="915"/>
      <c r="K16" s="915"/>
    </row>
    <row r="17" spans="2:11">
      <c r="B17" s="139"/>
      <c r="C17" s="948" t="s">
        <v>673</v>
      </c>
      <c r="D17" s="945" t="s">
        <v>1380</v>
      </c>
      <c r="E17" s="947">
        <v>11601</v>
      </c>
      <c r="F17" s="947">
        <v>11884</v>
      </c>
      <c r="H17" s="914"/>
      <c r="I17" s="914"/>
      <c r="J17" s="915"/>
      <c r="K17" s="915"/>
    </row>
    <row r="18" spans="2:11">
      <c r="B18" s="139"/>
      <c r="C18" s="948" t="s">
        <v>674</v>
      </c>
      <c r="D18" s="945" t="s">
        <v>1381</v>
      </c>
      <c r="E18" s="947">
        <v>13897</v>
      </c>
      <c r="F18" s="947">
        <v>14775</v>
      </c>
      <c r="H18" s="914"/>
      <c r="I18" s="914"/>
      <c r="J18" s="915"/>
      <c r="K18" s="915"/>
    </row>
    <row r="19" spans="2:11">
      <c r="B19" s="139"/>
      <c r="C19" s="948" t="s">
        <v>675</v>
      </c>
      <c r="D19" s="945" t="s">
        <v>1382</v>
      </c>
      <c r="E19" s="947">
        <v>63430</v>
      </c>
      <c r="F19" s="947">
        <v>66779</v>
      </c>
      <c r="H19" s="914"/>
      <c r="I19" s="914"/>
      <c r="J19" s="915"/>
      <c r="K19" s="915"/>
    </row>
    <row r="20" spans="2:11">
      <c r="B20" s="139"/>
      <c r="C20" s="948" t="s">
        <v>676</v>
      </c>
      <c r="D20" s="945" t="s">
        <v>1383</v>
      </c>
      <c r="E20" s="947">
        <v>11866</v>
      </c>
      <c r="F20" s="947">
        <v>12177</v>
      </c>
      <c r="H20" s="914"/>
      <c r="I20" s="914"/>
      <c r="J20" s="915"/>
      <c r="K20" s="915"/>
    </row>
    <row r="21" spans="2:11">
      <c r="B21" s="139"/>
      <c r="C21" s="948" t="s">
        <v>677</v>
      </c>
      <c r="D21" s="945" t="s">
        <v>1384</v>
      </c>
      <c r="E21" s="947">
        <v>20322</v>
      </c>
      <c r="F21" s="947">
        <v>21330</v>
      </c>
      <c r="H21" s="914"/>
      <c r="I21" s="914"/>
      <c r="J21" s="915"/>
      <c r="K21" s="915"/>
    </row>
    <row r="22" spans="2:11">
      <c r="B22" s="139"/>
      <c r="C22" s="948" t="s">
        <v>678</v>
      </c>
      <c r="D22" s="945" t="s">
        <v>1385</v>
      </c>
      <c r="E22" s="947">
        <v>11428</v>
      </c>
      <c r="F22" s="947">
        <v>12108</v>
      </c>
      <c r="H22" s="914"/>
      <c r="I22" s="914"/>
      <c r="J22" s="915"/>
      <c r="K22" s="915"/>
    </row>
    <row r="23" spans="2:11">
      <c r="B23" s="139"/>
      <c r="C23" s="948" t="s">
        <v>679</v>
      </c>
      <c r="D23" s="945" t="s">
        <v>1386</v>
      </c>
      <c r="E23" s="947">
        <v>20369</v>
      </c>
      <c r="F23" s="947">
        <v>22921</v>
      </c>
      <c r="H23" s="914"/>
      <c r="I23" s="914"/>
      <c r="J23" s="915"/>
      <c r="K23" s="915"/>
    </row>
    <row r="24" spans="2:11">
      <c r="B24" s="139"/>
      <c r="C24" s="948" t="s">
        <v>680</v>
      </c>
      <c r="D24" s="945" t="s">
        <v>1387</v>
      </c>
      <c r="E24" s="947">
        <v>13869</v>
      </c>
      <c r="F24" s="947">
        <v>14696</v>
      </c>
      <c r="H24" s="914"/>
      <c r="I24" s="914"/>
      <c r="J24" s="915"/>
      <c r="K24" s="915"/>
    </row>
    <row r="25" spans="2:11">
      <c r="B25" s="139"/>
      <c r="C25" s="948" t="s">
        <v>681</v>
      </c>
      <c r="D25" s="945" t="s">
        <v>1388</v>
      </c>
      <c r="E25" s="947">
        <v>23390</v>
      </c>
      <c r="F25" s="947">
        <v>23877</v>
      </c>
      <c r="H25" s="914"/>
      <c r="I25" s="914"/>
      <c r="J25" s="915"/>
      <c r="K25" s="915"/>
    </row>
    <row r="26" spans="2:11">
      <c r="B26" s="139"/>
      <c r="C26" s="948" t="s">
        <v>682</v>
      </c>
      <c r="D26" s="945" t="s">
        <v>1389</v>
      </c>
      <c r="E26" s="947">
        <v>13591</v>
      </c>
      <c r="F26" s="947">
        <v>13900</v>
      </c>
      <c r="H26" s="914"/>
      <c r="I26" s="914"/>
      <c r="J26" s="915"/>
      <c r="K26" s="915"/>
    </row>
    <row r="27" spans="2:11">
      <c r="B27" s="139"/>
      <c r="C27" s="948" t="s">
        <v>683</v>
      </c>
      <c r="D27" s="945" t="s">
        <v>1390</v>
      </c>
      <c r="E27" s="947">
        <v>11921</v>
      </c>
      <c r="F27" s="947">
        <v>12379</v>
      </c>
      <c r="H27" s="914"/>
      <c r="I27" s="914"/>
      <c r="J27" s="915"/>
      <c r="K27" s="915"/>
    </row>
    <row r="28" spans="2:11">
      <c r="B28" s="139"/>
      <c r="C28" s="948" t="s">
        <v>684</v>
      </c>
      <c r="D28" s="945" t="s">
        <v>1391</v>
      </c>
      <c r="E28" s="947">
        <v>13767</v>
      </c>
      <c r="F28" s="947">
        <v>14268</v>
      </c>
      <c r="H28" s="914"/>
      <c r="I28" s="914"/>
      <c r="J28" s="915"/>
      <c r="K28" s="915"/>
    </row>
    <row r="29" spans="2:11">
      <c r="B29" s="139"/>
      <c r="C29" s="948" t="s">
        <v>685</v>
      </c>
      <c r="D29" s="945" t="s">
        <v>1392</v>
      </c>
      <c r="E29" s="947">
        <v>10506</v>
      </c>
      <c r="F29" s="947">
        <v>10650</v>
      </c>
      <c r="H29" s="914"/>
      <c r="I29" s="914"/>
      <c r="J29" s="915"/>
      <c r="K29" s="915"/>
    </row>
    <row r="30" spans="2:11">
      <c r="B30" s="139"/>
      <c r="C30" s="948" t="s">
        <v>686</v>
      </c>
      <c r="D30" s="945" t="s">
        <v>1393</v>
      </c>
      <c r="E30" s="947">
        <v>12014</v>
      </c>
      <c r="F30" s="947">
        <v>12550</v>
      </c>
      <c r="H30" s="914"/>
      <c r="I30" s="914"/>
      <c r="J30" s="915"/>
      <c r="K30" s="915"/>
    </row>
    <row r="31" spans="2:11">
      <c r="B31" s="139"/>
      <c r="C31" s="948" t="s">
        <v>687</v>
      </c>
      <c r="D31" s="945" t="s">
        <v>1394</v>
      </c>
      <c r="E31" s="947">
        <v>15292</v>
      </c>
      <c r="F31" s="947">
        <v>15650</v>
      </c>
      <c r="H31" s="914"/>
      <c r="I31" s="914"/>
      <c r="J31" s="915"/>
      <c r="K31" s="915"/>
    </row>
    <row r="32" spans="2:11">
      <c r="B32" s="139"/>
      <c r="C32" s="948" t="s">
        <v>688</v>
      </c>
      <c r="D32" s="945" t="s">
        <v>1395</v>
      </c>
      <c r="E32" s="947">
        <v>11727</v>
      </c>
      <c r="F32" s="947">
        <v>11937</v>
      </c>
      <c r="H32" s="914"/>
      <c r="I32" s="914"/>
      <c r="J32" s="915"/>
      <c r="K32" s="915"/>
    </row>
    <row r="33" spans="2:11">
      <c r="B33" s="139"/>
      <c r="C33" s="948" t="s">
        <v>689</v>
      </c>
      <c r="D33" s="945" t="s">
        <v>1396</v>
      </c>
      <c r="E33" s="947">
        <v>15491</v>
      </c>
      <c r="F33" s="947">
        <v>15733</v>
      </c>
      <c r="H33" s="914"/>
      <c r="I33" s="914"/>
      <c r="J33" s="915"/>
      <c r="K33" s="915"/>
    </row>
    <row r="34" spans="2:11">
      <c r="B34" s="139"/>
      <c r="C34" s="948" t="s">
        <v>690</v>
      </c>
      <c r="D34" s="945" t="s">
        <v>1397</v>
      </c>
      <c r="E34" s="947">
        <v>12710</v>
      </c>
      <c r="F34" s="947">
        <v>13016</v>
      </c>
      <c r="H34" s="914"/>
      <c r="I34" s="914"/>
      <c r="J34" s="915"/>
      <c r="K34" s="915"/>
    </row>
    <row r="35" spans="2:11">
      <c r="B35" s="139"/>
      <c r="C35" s="948" t="s">
        <v>691</v>
      </c>
      <c r="D35" s="945" t="s">
        <v>1398</v>
      </c>
      <c r="E35" s="947">
        <v>19015</v>
      </c>
      <c r="F35" s="947">
        <v>19591</v>
      </c>
      <c r="H35" s="914"/>
      <c r="I35" s="914"/>
      <c r="J35" s="915"/>
      <c r="K35" s="915"/>
    </row>
    <row r="36" spans="2:11">
      <c r="B36" s="139"/>
      <c r="C36" s="948" t="s">
        <v>692</v>
      </c>
      <c r="D36" s="945" t="s">
        <v>1399</v>
      </c>
      <c r="E36" s="947">
        <v>13059</v>
      </c>
      <c r="F36" s="947">
        <v>13600</v>
      </c>
      <c r="H36" s="914"/>
      <c r="I36" s="914"/>
      <c r="J36" s="915"/>
      <c r="K36" s="915"/>
    </row>
    <row r="37" spans="2:11">
      <c r="B37" s="139"/>
      <c r="C37" s="948" t="s">
        <v>693</v>
      </c>
      <c r="D37" s="945" t="s">
        <v>1400</v>
      </c>
      <c r="E37" s="947">
        <v>17405</v>
      </c>
      <c r="F37" s="947">
        <v>18119</v>
      </c>
      <c r="H37" s="914"/>
      <c r="I37" s="914"/>
      <c r="J37" s="915"/>
      <c r="K37" s="915"/>
    </row>
    <row r="38" spans="2:11">
      <c r="B38" s="139"/>
      <c r="C38" s="948" t="s">
        <v>694</v>
      </c>
      <c r="D38" s="945" t="s">
        <v>1401</v>
      </c>
      <c r="E38" s="947">
        <v>13687</v>
      </c>
      <c r="F38" s="947">
        <v>14369</v>
      </c>
      <c r="H38" s="914"/>
      <c r="I38" s="914"/>
      <c r="J38" s="915"/>
      <c r="K38" s="915"/>
    </row>
    <row r="39" spans="2:11">
      <c r="B39" s="139"/>
      <c r="C39" s="948" t="s">
        <v>695</v>
      </c>
      <c r="D39" s="945" t="s">
        <v>1402</v>
      </c>
      <c r="E39" s="947">
        <v>13810</v>
      </c>
      <c r="F39" s="947">
        <v>14259</v>
      </c>
      <c r="H39" s="914"/>
      <c r="I39" s="914"/>
      <c r="J39" s="915"/>
      <c r="K39" s="915"/>
    </row>
    <row r="40" spans="2:11">
      <c r="B40" s="139"/>
      <c r="C40" s="948" t="s">
        <v>696</v>
      </c>
      <c r="D40" s="945" t="s">
        <v>1403</v>
      </c>
      <c r="E40" s="947">
        <v>13698</v>
      </c>
      <c r="F40" s="947">
        <v>13902</v>
      </c>
      <c r="H40" s="914"/>
      <c r="I40" s="914"/>
      <c r="J40" s="915"/>
      <c r="K40" s="915"/>
    </row>
    <row r="41" spans="2:11">
      <c r="B41" s="139"/>
      <c r="C41" s="948" t="s">
        <v>697</v>
      </c>
      <c r="D41" s="945" t="s">
        <v>1404</v>
      </c>
      <c r="E41" s="947">
        <v>14183</v>
      </c>
      <c r="F41" s="947">
        <v>14862</v>
      </c>
      <c r="H41" s="914"/>
      <c r="I41" s="914"/>
      <c r="J41" s="915"/>
      <c r="K41" s="915"/>
    </row>
    <row r="42" spans="2:11">
      <c r="B42" s="139"/>
      <c r="C42" s="948" t="s">
        <v>698</v>
      </c>
      <c r="D42" s="945" t="s">
        <v>1405</v>
      </c>
      <c r="E42" s="947">
        <v>10455</v>
      </c>
      <c r="F42" s="947">
        <v>11010</v>
      </c>
      <c r="H42" s="914"/>
      <c r="I42" s="914"/>
      <c r="J42" s="915"/>
      <c r="K42" s="915"/>
    </row>
    <row r="43" spans="2:11">
      <c r="B43" s="139"/>
      <c r="C43" s="948" t="s">
        <v>699</v>
      </c>
      <c r="D43" s="945" t="s">
        <v>1406</v>
      </c>
      <c r="E43" s="947">
        <v>18584</v>
      </c>
      <c r="F43" s="947">
        <v>19322</v>
      </c>
      <c r="H43" s="914"/>
      <c r="I43" s="914"/>
      <c r="J43" s="915"/>
      <c r="K43" s="915"/>
    </row>
    <row r="44" spans="2:11">
      <c r="B44" s="139"/>
      <c r="C44" s="948" t="s">
        <v>700</v>
      </c>
      <c r="D44" s="945" t="s">
        <v>1407</v>
      </c>
      <c r="E44" s="947">
        <v>19427</v>
      </c>
      <c r="F44" s="947">
        <v>19845</v>
      </c>
      <c r="H44" s="914"/>
      <c r="I44" s="914"/>
      <c r="J44" s="915"/>
      <c r="K44" s="915"/>
    </row>
    <row r="45" spans="2:11">
      <c r="B45" s="139"/>
      <c r="C45" s="948" t="s">
        <v>701</v>
      </c>
      <c r="D45" s="945" t="s">
        <v>1408</v>
      </c>
      <c r="E45" s="947">
        <v>14127</v>
      </c>
      <c r="F45" s="947">
        <v>14549</v>
      </c>
      <c r="H45" s="914"/>
      <c r="I45" s="914"/>
      <c r="J45" s="915"/>
      <c r="K45" s="915"/>
    </row>
    <row r="46" spans="2:11">
      <c r="B46" s="139"/>
      <c r="C46" s="948" t="s">
        <v>702</v>
      </c>
      <c r="D46" s="945" t="s">
        <v>1409</v>
      </c>
      <c r="E46" s="947">
        <v>11448</v>
      </c>
      <c r="F46" s="947">
        <v>11902</v>
      </c>
      <c r="H46" s="914"/>
      <c r="I46" s="914"/>
      <c r="J46" s="915"/>
      <c r="K46" s="915"/>
    </row>
    <row r="47" spans="2:11">
      <c r="B47" s="139"/>
      <c r="C47" s="948" t="s">
        <v>703</v>
      </c>
      <c r="D47" s="945" t="s">
        <v>1410</v>
      </c>
      <c r="E47" s="947">
        <v>23269</v>
      </c>
      <c r="F47" s="947">
        <v>23781</v>
      </c>
      <c r="H47" s="914"/>
      <c r="I47" s="914"/>
      <c r="J47" s="915"/>
      <c r="K47" s="915"/>
    </row>
    <row r="48" spans="2:11">
      <c r="B48" s="139"/>
      <c r="C48" s="948" t="s">
        <v>704</v>
      </c>
      <c r="D48" s="945" t="s">
        <v>1411</v>
      </c>
      <c r="E48" s="947">
        <v>14511</v>
      </c>
      <c r="F48" s="947">
        <v>15200</v>
      </c>
      <c r="H48" s="914"/>
      <c r="I48" s="914"/>
      <c r="J48" s="915"/>
      <c r="K48" s="915"/>
    </row>
    <row r="49" spans="2:11">
      <c r="B49" s="139"/>
      <c r="C49" s="948" t="s">
        <v>705</v>
      </c>
      <c r="D49" s="945" t="s">
        <v>1412</v>
      </c>
      <c r="E49" s="947">
        <v>14257</v>
      </c>
      <c r="F49" s="947">
        <v>15543</v>
      </c>
      <c r="H49" s="914"/>
      <c r="I49" s="914"/>
      <c r="J49" s="915"/>
      <c r="K49" s="915"/>
    </row>
    <row r="50" spans="2:11">
      <c r="B50" s="139"/>
      <c r="C50" s="948" t="s">
        <v>706</v>
      </c>
      <c r="D50" s="945" t="s">
        <v>1413</v>
      </c>
      <c r="E50" s="947">
        <v>9807</v>
      </c>
      <c r="F50" s="947">
        <v>8999</v>
      </c>
      <c r="H50" s="914"/>
      <c r="I50" s="914"/>
      <c r="J50" s="915"/>
      <c r="K50" s="915"/>
    </row>
    <row r="51" spans="2:11">
      <c r="B51" s="139"/>
      <c r="C51" s="948" t="s">
        <v>707</v>
      </c>
      <c r="D51" s="945" t="s">
        <v>1414</v>
      </c>
      <c r="E51" s="947">
        <v>21708</v>
      </c>
      <c r="F51" s="947">
        <v>21851</v>
      </c>
      <c r="H51" s="914"/>
      <c r="I51" s="914"/>
      <c r="J51" s="915"/>
      <c r="K51" s="915"/>
    </row>
    <row r="52" spans="2:11">
      <c r="B52" s="139"/>
      <c r="C52" s="948" t="s">
        <v>708</v>
      </c>
      <c r="D52" s="945" t="s">
        <v>1415</v>
      </c>
      <c r="E52" s="947">
        <v>15793</v>
      </c>
      <c r="F52" s="947">
        <v>16643</v>
      </c>
      <c r="H52" s="914"/>
      <c r="I52" s="914"/>
      <c r="J52" s="915"/>
      <c r="K52" s="915"/>
    </row>
    <row r="53" spans="2:11">
      <c r="B53" s="139"/>
      <c r="C53" s="948" t="s">
        <v>709</v>
      </c>
      <c r="D53" s="945" t="s">
        <v>1416</v>
      </c>
      <c r="E53" s="947">
        <v>14350</v>
      </c>
      <c r="F53" s="947">
        <v>15050</v>
      </c>
      <c r="H53" s="914"/>
      <c r="I53" s="914"/>
      <c r="J53" s="915"/>
      <c r="K53" s="915"/>
    </row>
    <row r="54" spans="2:11">
      <c r="B54" s="139"/>
      <c r="C54" s="948" t="s">
        <v>710</v>
      </c>
      <c r="D54" s="945" t="s">
        <v>1417</v>
      </c>
      <c r="E54" s="947">
        <v>15059</v>
      </c>
      <c r="F54" s="947">
        <v>15762</v>
      </c>
      <c r="H54" s="914"/>
      <c r="I54" s="914"/>
      <c r="J54" s="915"/>
      <c r="K54" s="915"/>
    </row>
    <row r="55" spans="2:11">
      <c r="B55" s="139"/>
      <c r="C55" s="948" t="s">
        <v>711</v>
      </c>
      <c r="D55" s="945" t="s">
        <v>1418</v>
      </c>
      <c r="E55" s="947">
        <v>16417</v>
      </c>
      <c r="F55" s="947">
        <v>17445</v>
      </c>
      <c r="H55" s="914"/>
      <c r="I55" s="914"/>
      <c r="J55" s="915"/>
      <c r="K55" s="915"/>
    </row>
    <row r="56" spans="2:11">
      <c r="B56" s="139"/>
      <c r="C56" s="948" t="s">
        <v>712</v>
      </c>
      <c r="D56" s="945" t="s">
        <v>1419</v>
      </c>
      <c r="E56" s="947">
        <v>13877</v>
      </c>
      <c r="F56" s="947">
        <v>14248</v>
      </c>
      <c r="H56" s="914"/>
      <c r="I56" s="914"/>
      <c r="J56" s="915"/>
      <c r="K56" s="915"/>
    </row>
    <row r="57" spans="2:11">
      <c r="B57" s="139"/>
      <c r="C57" s="948" t="s">
        <v>713</v>
      </c>
      <c r="D57" s="945" t="s">
        <v>1420</v>
      </c>
      <c r="E57" s="947">
        <v>19074</v>
      </c>
      <c r="F57" s="947">
        <v>19547</v>
      </c>
      <c r="H57" s="914"/>
      <c r="I57" s="914"/>
      <c r="J57" s="915"/>
      <c r="K57" s="915"/>
    </row>
    <row r="58" spans="2:11">
      <c r="B58" s="139"/>
      <c r="C58" s="948" t="s">
        <v>714</v>
      </c>
      <c r="D58" s="945" t="s">
        <v>1421</v>
      </c>
      <c r="E58" s="947">
        <v>12716</v>
      </c>
      <c r="F58" s="947">
        <v>13159</v>
      </c>
      <c r="H58" s="914"/>
      <c r="I58" s="914"/>
      <c r="J58" s="915"/>
      <c r="K58" s="915"/>
    </row>
    <row r="59" spans="2:11">
      <c r="B59" s="139"/>
      <c r="C59" s="948" t="s">
        <v>715</v>
      </c>
      <c r="D59" s="945" t="s">
        <v>1422</v>
      </c>
      <c r="E59" s="947">
        <v>21332</v>
      </c>
      <c r="F59" s="947">
        <v>21863</v>
      </c>
      <c r="H59" s="914"/>
      <c r="I59" s="914"/>
      <c r="J59" s="915"/>
      <c r="K59" s="915"/>
    </row>
    <row r="60" spans="2:11">
      <c r="B60" s="139"/>
      <c r="C60" s="948" t="s">
        <v>818</v>
      </c>
      <c r="D60" s="945" t="s">
        <v>1423</v>
      </c>
      <c r="E60" s="947">
        <v>12412</v>
      </c>
      <c r="F60" s="947">
        <v>12784</v>
      </c>
      <c r="H60" s="914"/>
      <c r="I60" s="914"/>
      <c r="J60" s="915"/>
      <c r="K60" s="915"/>
    </row>
    <row r="61" spans="2:11">
      <c r="B61" s="139"/>
      <c r="C61" s="948" t="s">
        <v>716</v>
      </c>
      <c r="D61" s="945" t="s">
        <v>1424</v>
      </c>
      <c r="E61" s="947">
        <v>13492</v>
      </c>
      <c r="F61" s="947">
        <v>13619</v>
      </c>
      <c r="H61" s="914"/>
      <c r="I61" s="914"/>
      <c r="J61" s="915"/>
      <c r="K61" s="915"/>
    </row>
    <row r="62" spans="2:11">
      <c r="B62" s="139"/>
      <c r="C62" s="948" t="s">
        <v>717</v>
      </c>
      <c r="D62" s="945" t="s">
        <v>1425</v>
      </c>
      <c r="E62" s="947">
        <v>23321</v>
      </c>
      <c r="F62" s="947">
        <v>22841</v>
      </c>
      <c r="H62" s="914"/>
      <c r="I62" s="914"/>
      <c r="J62" s="915"/>
      <c r="K62" s="915"/>
    </row>
    <row r="63" spans="2:11">
      <c r="B63" s="139"/>
      <c r="C63" s="949" t="s">
        <v>718</v>
      </c>
      <c r="D63" s="945" t="s">
        <v>1426</v>
      </c>
      <c r="E63" s="947">
        <v>16118</v>
      </c>
      <c r="F63" s="947">
        <v>16179</v>
      </c>
      <c r="H63" s="914"/>
      <c r="I63" s="914"/>
      <c r="J63" s="915"/>
      <c r="K63" s="915"/>
    </row>
    <row r="64" spans="2:11">
      <c r="B64" s="139"/>
      <c r="C64" s="948" t="s">
        <v>719</v>
      </c>
      <c r="D64" s="945" t="s">
        <v>1427</v>
      </c>
      <c r="E64" s="947">
        <v>14482</v>
      </c>
      <c r="F64" s="947">
        <v>14595</v>
      </c>
      <c r="H64" s="914"/>
      <c r="I64" s="914"/>
      <c r="J64" s="915"/>
      <c r="K64" s="915"/>
    </row>
    <row r="65" spans="2:11">
      <c r="B65" s="139"/>
      <c r="C65" s="948" t="s">
        <v>720</v>
      </c>
      <c r="D65" s="945" t="s">
        <v>1428</v>
      </c>
      <c r="E65" s="947">
        <v>13401</v>
      </c>
      <c r="F65" s="947">
        <v>14212</v>
      </c>
      <c r="H65" s="914"/>
      <c r="I65" s="914"/>
      <c r="J65" s="915"/>
      <c r="K65" s="915"/>
    </row>
    <row r="66" spans="2:11">
      <c r="B66" s="139"/>
      <c r="C66" s="948" t="s">
        <v>721</v>
      </c>
      <c r="D66" s="945" t="s">
        <v>1429</v>
      </c>
      <c r="E66" s="947">
        <v>17336</v>
      </c>
      <c r="F66" s="947">
        <v>18655</v>
      </c>
      <c r="H66" s="914"/>
      <c r="I66" s="914"/>
      <c r="J66" s="915"/>
      <c r="K66" s="915"/>
    </row>
    <row r="67" spans="2:11">
      <c r="B67" s="139"/>
      <c r="C67" s="948" t="s">
        <v>722</v>
      </c>
      <c r="D67" s="945" t="s">
        <v>1430</v>
      </c>
      <c r="E67" s="947">
        <v>18579</v>
      </c>
      <c r="F67" s="947">
        <v>19194</v>
      </c>
      <c r="H67" s="914"/>
      <c r="I67" s="914"/>
      <c r="J67" s="915"/>
      <c r="K67" s="915"/>
    </row>
    <row r="68" spans="2:11">
      <c r="B68" s="139"/>
      <c r="C68" s="948" t="s">
        <v>723</v>
      </c>
      <c r="D68" s="945" t="s">
        <v>1431</v>
      </c>
      <c r="E68" s="947">
        <v>24366</v>
      </c>
      <c r="F68" s="947">
        <v>25099</v>
      </c>
      <c r="H68" s="914"/>
      <c r="I68" s="914"/>
      <c r="J68" s="915"/>
      <c r="K68" s="915"/>
    </row>
    <row r="69" spans="2:11">
      <c r="B69" s="139"/>
      <c r="C69" s="948" t="s">
        <v>724</v>
      </c>
      <c r="D69" s="945" t="s">
        <v>1432</v>
      </c>
      <c r="E69" s="947">
        <v>77128</v>
      </c>
      <c r="F69" s="947">
        <v>80321</v>
      </c>
      <c r="H69" s="914"/>
      <c r="I69" s="914"/>
      <c r="J69" s="915"/>
      <c r="K69" s="915"/>
    </row>
    <row r="70" spans="2:11">
      <c r="B70" s="139"/>
      <c r="C70" s="948" t="s">
        <v>725</v>
      </c>
      <c r="D70" s="945" t="s">
        <v>1433</v>
      </c>
      <c r="E70" s="947">
        <v>14868</v>
      </c>
      <c r="F70" s="947">
        <v>15314</v>
      </c>
      <c r="H70" s="914"/>
      <c r="I70" s="914"/>
      <c r="J70" s="915"/>
      <c r="K70" s="915"/>
    </row>
    <row r="71" spans="2:11">
      <c r="B71" s="139"/>
      <c r="C71" s="948" t="s">
        <v>726</v>
      </c>
      <c r="D71" s="945" t="s">
        <v>1434</v>
      </c>
      <c r="E71" s="947">
        <v>10318</v>
      </c>
      <c r="F71" s="947">
        <v>10743</v>
      </c>
      <c r="H71" s="914"/>
      <c r="I71" s="914"/>
      <c r="J71" s="915"/>
      <c r="K71" s="915"/>
    </row>
    <row r="72" spans="2:11">
      <c r="B72" s="139"/>
      <c r="C72" s="948" t="s">
        <v>727</v>
      </c>
      <c r="D72" s="945" t="s">
        <v>1435</v>
      </c>
      <c r="E72" s="947">
        <v>12643</v>
      </c>
      <c r="F72" s="947">
        <v>12925</v>
      </c>
      <c r="H72" s="914"/>
      <c r="I72" s="914"/>
      <c r="J72" s="915"/>
      <c r="K72" s="915"/>
    </row>
    <row r="73" spans="2:11">
      <c r="B73" s="139"/>
      <c r="C73" s="948" t="s">
        <v>728</v>
      </c>
      <c r="D73" s="945" t="s">
        <v>1436</v>
      </c>
      <c r="E73" s="947">
        <v>15187</v>
      </c>
      <c r="F73" s="947">
        <v>15576</v>
      </c>
      <c r="H73" s="914"/>
      <c r="I73" s="914"/>
      <c r="J73" s="915"/>
      <c r="K73" s="915"/>
    </row>
    <row r="74" spans="2:11">
      <c r="B74" s="139"/>
      <c r="C74" s="948" t="s">
        <v>729</v>
      </c>
      <c r="D74" s="945" t="s">
        <v>1437</v>
      </c>
      <c r="E74" s="947">
        <v>22599</v>
      </c>
      <c r="F74" s="947">
        <v>22773</v>
      </c>
      <c r="H74" s="914"/>
      <c r="I74" s="914"/>
      <c r="J74" s="915"/>
      <c r="K74" s="915"/>
    </row>
    <row r="75" spans="2:11">
      <c r="B75" s="139"/>
      <c r="C75" s="948" t="s">
        <v>730</v>
      </c>
      <c r="D75" s="945" t="s">
        <v>1438</v>
      </c>
      <c r="E75" s="947">
        <v>15370</v>
      </c>
      <c r="F75" s="947">
        <v>16195</v>
      </c>
      <c r="H75" s="914"/>
      <c r="I75" s="914"/>
      <c r="J75" s="915"/>
      <c r="K75" s="915"/>
    </row>
    <row r="76" spans="2:11">
      <c r="B76" s="139"/>
      <c r="C76" s="948" t="s">
        <v>732</v>
      </c>
      <c r="D76" s="945" t="s">
        <v>1439</v>
      </c>
      <c r="E76" s="947">
        <v>12816</v>
      </c>
      <c r="F76" s="947">
        <v>12966</v>
      </c>
      <c r="H76" s="914"/>
      <c r="I76" s="914"/>
      <c r="J76" s="915"/>
      <c r="K76" s="915"/>
    </row>
    <row r="77" spans="2:11">
      <c r="B77" s="139"/>
      <c r="C77" s="948" t="s">
        <v>733</v>
      </c>
      <c r="D77" s="945" t="s">
        <v>1440</v>
      </c>
      <c r="E77" s="947">
        <v>14380</v>
      </c>
      <c r="F77" s="947">
        <v>15092</v>
      </c>
      <c r="H77" s="914"/>
      <c r="I77" s="914"/>
      <c r="J77" s="915"/>
      <c r="K77" s="915"/>
    </row>
    <row r="78" spans="2:11">
      <c r="B78" s="139"/>
      <c r="C78" s="948" t="s">
        <v>734</v>
      </c>
      <c r="D78" s="945" t="s">
        <v>1441</v>
      </c>
      <c r="E78" s="947">
        <v>13966</v>
      </c>
      <c r="F78" s="947">
        <v>14614</v>
      </c>
      <c r="H78" s="914"/>
      <c r="I78" s="914"/>
      <c r="J78" s="915"/>
      <c r="K78" s="915"/>
    </row>
    <row r="79" spans="2:11">
      <c r="B79" s="139"/>
      <c r="C79" s="948" t="s">
        <v>735</v>
      </c>
      <c r="D79" s="945" t="s">
        <v>1442</v>
      </c>
      <c r="E79" s="947">
        <v>12031</v>
      </c>
      <c r="F79" s="947">
        <v>12266</v>
      </c>
      <c r="H79" s="914"/>
      <c r="I79" s="914"/>
      <c r="J79" s="915"/>
      <c r="K79" s="915"/>
    </row>
    <row r="80" spans="2:11">
      <c r="B80" s="139"/>
      <c r="C80" s="948" t="s">
        <v>736</v>
      </c>
      <c r="D80" s="945" t="s">
        <v>1443</v>
      </c>
      <c r="E80" s="947">
        <v>22205</v>
      </c>
      <c r="F80" s="947">
        <v>22745</v>
      </c>
      <c r="H80" s="914"/>
      <c r="I80" s="914"/>
      <c r="J80" s="915"/>
      <c r="K80" s="915"/>
    </row>
    <row r="81" spans="2:11">
      <c r="B81" s="139"/>
      <c r="C81" s="948" t="s">
        <v>737</v>
      </c>
      <c r="D81" s="945" t="s">
        <v>1444</v>
      </c>
      <c r="E81" s="947">
        <v>12815</v>
      </c>
      <c r="F81" s="947">
        <v>13311</v>
      </c>
      <c r="H81" s="914"/>
      <c r="I81" s="914"/>
      <c r="J81" s="915"/>
      <c r="K81" s="915"/>
    </row>
    <row r="82" spans="2:11">
      <c r="B82" s="139"/>
      <c r="C82" s="948" t="s">
        <v>738</v>
      </c>
      <c r="D82" s="945" t="s">
        <v>1445</v>
      </c>
      <c r="E82" s="947">
        <v>11469</v>
      </c>
      <c r="F82" s="947">
        <v>11719</v>
      </c>
      <c r="H82" s="914"/>
      <c r="I82" s="914"/>
      <c r="J82" s="915"/>
      <c r="K82" s="915"/>
    </row>
    <row r="83" spans="2:11">
      <c r="B83" s="139"/>
      <c r="C83" s="948" t="s">
        <v>739</v>
      </c>
      <c r="D83" s="945" t="s">
        <v>1446</v>
      </c>
      <c r="E83" s="947">
        <v>11829</v>
      </c>
      <c r="F83" s="947">
        <v>11887</v>
      </c>
      <c r="H83" s="914"/>
      <c r="I83" s="914"/>
      <c r="J83" s="915"/>
      <c r="K83" s="915"/>
    </row>
    <row r="84" spans="2:11">
      <c r="B84" s="139"/>
      <c r="C84" s="948" t="s">
        <v>740</v>
      </c>
      <c r="D84" s="945" t="s">
        <v>1447</v>
      </c>
      <c r="E84" s="947">
        <v>14254</v>
      </c>
      <c r="F84" s="947">
        <v>14485</v>
      </c>
      <c r="H84" s="914"/>
      <c r="I84" s="914"/>
      <c r="J84" s="915"/>
      <c r="K84" s="915"/>
    </row>
    <row r="85" spans="2:11">
      <c r="B85" s="139"/>
      <c r="C85" s="948" t="s">
        <v>741</v>
      </c>
      <c r="D85" s="945" t="s">
        <v>1448</v>
      </c>
      <c r="E85" s="947">
        <v>10529</v>
      </c>
      <c r="F85" s="947">
        <v>10411</v>
      </c>
      <c r="H85" s="914"/>
      <c r="I85" s="914"/>
      <c r="J85" s="915"/>
      <c r="K85" s="915"/>
    </row>
    <row r="86" spans="2:11">
      <c r="B86" s="139"/>
      <c r="C86" s="948" t="s">
        <v>742</v>
      </c>
      <c r="D86" s="945" t="s">
        <v>1449</v>
      </c>
      <c r="E86" s="947">
        <v>10128</v>
      </c>
      <c r="F86" s="947">
        <v>9870</v>
      </c>
      <c r="H86" s="914"/>
      <c r="I86" s="914"/>
      <c r="J86" s="915"/>
      <c r="K86" s="915"/>
    </row>
    <row r="87" spans="2:11">
      <c r="B87" s="139"/>
      <c r="C87" s="948" t="s">
        <v>743</v>
      </c>
      <c r="D87" s="945" t="s">
        <v>1450</v>
      </c>
      <c r="E87" s="947">
        <v>12596</v>
      </c>
      <c r="F87" s="947">
        <v>12689</v>
      </c>
      <c r="H87" s="914"/>
      <c r="I87" s="914"/>
      <c r="J87" s="915"/>
      <c r="K87" s="915"/>
    </row>
    <row r="88" spans="2:11">
      <c r="B88" s="139"/>
      <c r="C88" s="948" t="s">
        <v>744</v>
      </c>
      <c r="D88" s="945" t="s">
        <v>1451</v>
      </c>
      <c r="E88" s="947">
        <v>12078</v>
      </c>
      <c r="F88" s="947">
        <v>12155</v>
      </c>
      <c r="H88" s="914"/>
      <c r="I88" s="914"/>
      <c r="J88" s="915"/>
      <c r="K88" s="915"/>
    </row>
    <row r="89" spans="2:11">
      <c r="B89" s="139"/>
      <c r="C89" s="948" t="s">
        <v>745</v>
      </c>
      <c r="D89" s="945" t="s">
        <v>1452</v>
      </c>
      <c r="E89" s="947">
        <v>13884</v>
      </c>
      <c r="F89" s="947">
        <v>14238</v>
      </c>
      <c r="H89" s="914"/>
      <c r="I89" s="914"/>
      <c r="J89" s="915"/>
      <c r="K89" s="915"/>
    </row>
    <row r="90" spans="2:11">
      <c r="B90" s="139"/>
      <c r="C90" s="948" t="s">
        <v>746</v>
      </c>
      <c r="D90" s="945" t="s">
        <v>1453</v>
      </c>
      <c r="E90" s="947">
        <v>11955</v>
      </c>
      <c r="F90" s="947">
        <v>12186</v>
      </c>
      <c r="H90" s="914"/>
      <c r="I90" s="914"/>
      <c r="J90" s="915"/>
      <c r="K90" s="915"/>
    </row>
    <row r="91" spans="2:11">
      <c r="B91" s="139"/>
      <c r="C91" s="948" t="s">
        <v>747</v>
      </c>
      <c r="D91" s="945" t="s">
        <v>1454</v>
      </c>
      <c r="E91" s="947">
        <v>14867</v>
      </c>
      <c r="F91" s="947">
        <v>15234</v>
      </c>
      <c r="H91" s="914"/>
      <c r="I91" s="914"/>
      <c r="J91" s="915"/>
      <c r="K91" s="915"/>
    </row>
    <row r="92" spans="2:11">
      <c r="B92" s="139"/>
      <c r="C92" s="948" t="s">
        <v>748</v>
      </c>
      <c r="D92" s="945" t="s">
        <v>1455</v>
      </c>
      <c r="E92" s="947">
        <v>16137</v>
      </c>
      <c r="F92" s="947">
        <v>16471</v>
      </c>
      <c r="H92" s="914"/>
      <c r="I92" s="914"/>
      <c r="J92" s="915"/>
      <c r="K92" s="915"/>
    </row>
    <row r="93" spans="2:11">
      <c r="B93" s="139"/>
      <c r="C93" s="948" t="s">
        <v>749</v>
      </c>
      <c r="D93" s="945" t="s">
        <v>1456</v>
      </c>
      <c r="E93" s="947">
        <v>14138</v>
      </c>
      <c r="F93" s="947">
        <v>14877</v>
      </c>
      <c r="H93" s="914"/>
      <c r="I93" s="914"/>
      <c r="J93" s="915"/>
      <c r="K93" s="915"/>
    </row>
    <row r="94" spans="2:11">
      <c r="B94" s="139"/>
      <c r="C94" s="948" t="s">
        <v>750</v>
      </c>
      <c r="D94" s="945" t="s">
        <v>1457</v>
      </c>
      <c r="E94" s="947">
        <v>21973</v>
      </c>
      <c r="F94" s="947">
        <v>22208</v>
      </c>
      <c r="H94" s="914"/>
      <c r="I94" s="914"/>
      <c r="J94" s="915"/>
      <c r="K94" s="915"/>
    </row>
    <row r="95" spans="2:11">
      <c r="B95" s="139"/>
      <c r="C95" s="948" t="s">
        <v>751</v>
      </c>
      <c r="D95" s="945" t="s">
        <v>1458</v>
      </c>
      <c r="E95" s="947">
        <v>17378</v>
      </c>
      <c r="F95" s="947">
        <v>17628</v>
      </c>
      <c r="H95" s="914"/>
      <c r="I95" s="914"/>
      <c r="J95" s="915"/>
      <c r="K95" s="915"/>
    </row>
    <row r="96" spans="2:11">
      <c r="B96" s="139"/>
      <c r="C96" s="948" t="s">
        <v>752</v>
      </c>
      <c r="D96" s="945" t="s">
        <v>1459</v>
      </c>
      <c r="E96" s="947">
        <v>9585</v>
      </c>
      <c r="F96" s="947">
        <v>11256</v>
      </c>
      <c r="H96" s="914"/>
      <c r="I96" s="914"/>
      <c r="J96" s="915"/>
      <c r="K96" s="915"/>
    </row>
    <row r="97" spans="2:11">
      <c r="B97" s="139"/>
      <c r="C97" s="948" t="s">
        <v>753</v>
      </c>
      <c r="D97" s="945" t="s">
        <v>1460</v>
      </c>
      <c r="E97" s="947">
        <v>14998</v>
      </c>
      <c r="F97" s="947">
        <v>15554</v>
      </c>
      <c r="H97" s="914"/>
      <c r="I97" s="914"/>
      <c r="J97" s="915"/>
      <c r="K97" s="915"/>
    </row>
    <row r="98" spans="2:11">
      <c r="B98" s="139"/>
      <c r="C98" s="948" t="s">
        <v>754</v>
      </c>
      <c r="D98" s="945" t="s">
        <v>1461</v>
      </c>
      <c r="E98" s="947">
        <v>12490</v>
      </c>
      <c r="F98" s="947">
        <v>12836</v>
      </c>
      <c r="H98" s="914"/>
      <c r="I98" s="914"/>
      <c r="J98" s="915"/>
      <c r="K98" s="915"/>
    </row>
    <row r="99" spans="2:11">
      <c r="B99" s="139"/>
      <c r="C99" s="948" t="s">
        <v>755</v>
      </c>
      <c r="D99" s="945" t="s">
        <v>1462</v>
      </c>
      <c r="E99" s="947">
        <v>16209</v>
      </c>
      <c r="F99" s="947">
        <v>16925</v>
      </c>
      <c r="H99" s="914"/>
      <c r="I99" s="914"/>
      <c r="J99" s="915"/>
      <c r="K99" s="915"/>
    </row>
    <row r="100" spans="2:11">
      <c r="B100" s="139"/>
      <c r="C100" s="948" t="s">
        <v>756</v>
      </c>
      <c r="D100" s="945" t="s">
        <v>1463</v>
      </c>
      <c r="E100" s="947">
        <v>13840</v>
      </c>
      <c r="F100" s="947">
        <v>14485</v>
      </c>
      <c r="H100" s="914"/>
      <c r="I100" s="914"/>
      <c r="J100" s="915"/>
      <c r="K100" s="915"/>
    </row>
    <row r="101" spans="2:11">
      <c r="B101" s="139"/>
      <c r="C101" s="948" t="s">
        <v>757</v>
      </c>
      <c r="D101" s="945" t="s">
        <v>1464</v>
      </c>
      <c r="E101" s="947">
        <v>12544</v>
      </c>
      <c r="F101" s="947">
        <v>13008</v>
      </c>
      <c r="H101" s="914"/>
      <c r="I101" s="914"/>
      <c r="J101" s="915"/>
      <c r="K101" s="915"/>
    </row>
    <row r="102" spans="2:11">
      <c r="B102" s="139"/>
      <c r="C102" s="948" t="s">
        <v>758</v>
      </c>
      <c r="D102" s="945" t="s">
        <v>1465</v>
      </c>
      <c r="E102" s="947">
        <v>17208</v>
      </c>
      <c r="F102" s="947">
        <v>17889</v>
      </c>
      <c r="H102" s="914"/>
      <c r="I102" s="914"/>
      <c r="J102" s="915"/>
      <c r="K102" s="915"/>
    </row>
    <row r="103" spans="2:11">
      <c r="B103" s="139"/>
      <c r="C103" s="948" t="s">
        <v>759</v>
      </c>
      <c r="D103" s="945" t="s">
        <v>1466</v>
      </c>
      <c r="E103" s="947">
        <v>23314</v>
      </c>
      <c r="F103" s="947">
        <v>23773</v>
      </c>
      <c r="H103" s="914"/>
      <c r="I103" s="914"/>
      <c r="J103" s="915"/>
      <c r="K103" s="915"/>
    </row>
    <row r="104" spans="2:11">
      <c r="B104" s="139"/>
      <c r="C104" s="948" t="s">
        <v>760</v>
      </c>
      <c r="D104" s="945" t="s">
        <v>1467</v>
      </c>
      <c r="E104" s="947">
        <v>11269</v>
      </c>
      <c r="F104" s="947">
        <v>11626</v>
      </c>
      <c r="H104" s="914"/>
      <c r="I104" s="914"/>
      <c r="J104" s="915"/>
      <c r="K104" s="915"/>
    </row>
    <row r="105" spans="2:11">
      <c r="B105" s="139"/>
      <c r="C105" s="948" t="s">
        <v>761</v>
      </c>
      <c r="D105" s="945" t="s">
        <v>1468</v>
      </c>
      <c r="E105" s="947">
        <v>10419</v>
      </c>
      <c r="F105" s="947">
        <v>10874</v>
      </c>
      <c r="H105" s="914"/>
      <c r="I105" s="914"/>
      <c r="J105" s="915"/>
      <c r="K105" s="915"/>
    </row>
    <row r="106" spans="2:11">
      <c r="B106" s="139"/>
      <c r="C106" s="948" t="s">
        <v>762</v>
      </c>
      <c r="D106" s="945" t="s">
        <v>1469</v>
      </c>
      <c r="E106" s="947">
        <v>20759</v>
      </c>
      <c r="F106" s="947">
        <v>20890</v>
      </c>
      <c r="H106" s="914"/>
      <c r="I106" s="914"/>
      <c r="J106" s="915"/>
      <c r="K106" s="915"/>
    </row>
    <row r="107" spans="2:11">
      <c r="B107" s="139"/>
      <c r="C107" s="948" t="s">
        <v>763</v>
      </c>
      <c r="D107" s="945" t="s">
        <v>1470</v>
      </c>
      <c r="E107" s="947">
        <v>14135</v>
      </c>
      <c r="F107" s="947">
        <v>14582</v>
      </c>
      <c r="H107" s="914"/>
      <c r="I107" s="914"/>
      <c r="J107" s="915"/>
      <c r="K107" s="915"/>
    </row>
    <row r="108" spans="2:11">
      <c r="B108" s="139"/>
      <c r="C108" s="948" t="s">
        <v>764</v>
      </c>
      <c r="D108" s="945" t="s">
        <v>1471</v>
      </c>
      <c r="E108" s="947">
        <v>12794</v>
      </c>
      <c r="F108" s="947">
        <v>12850</v>
      </c>
      <c r="H108" s="914"/>
      <c r="I108" s="914"/>
      <c r="J108" s="915"/>
      <c r="K108" s="915"/>
    </row>
    <row r="109" spans="2:11">
      <c r="B109" s="139"/>
      <c r="C109" s="948" t="s">
        <v>765</v>
      </c>
      <c r="D109" s="945" t="s">
        <v>1472</v>
      </c>
      <c r="E109" s="947">
        <v>14311</v>
      </c>
      <c r="F109" s="947">
        <v>14730</v>
      </c>
      <c r="H109" s="914"/>
      <c r="I109" s="914"/>
      <c r="J109" s="915"/>
      <c r="K109" s="915"/>
    </row>
    <row r="110" spans="2:11">
      <c r="B110" s="139"/>
      <c r="C110" s="948" t="s">
        <v>766</v>
      </c>
      <c r="D110" s="945" t="s">
        <v>1473</v>
      </c>
      <c r="E110" s="947">
        <v>14720</v>
      </c>
      <c r="F110" s="947">
        <v>14983</v>
      </c>
      <c r="H110" s="914"/>
      <c r="I110" s="914"/>
      <c r="J110" s="915"/>
      <c r="K110" s="915"/>
    </row>
    <row r="111" spans="2:11">
      <c r="B111" s="139"/>
      <c r="C111" s="948" t="s">
        <v>767</v>
      </c>
      <c r="D111" s="945" t="s">
        <v>1474</v>
      </c>
      <c r="E111" s="947">
        <v>12944</v>
      </c>
      <c r="F111" s="947">
        <v>13182</v>
      </c>
      <c r="H111" s="914"/>
      <c r="I111" s="914"/>
      <c r="J111" s="915"/>
      <c r="K111" s="915"/>
    </row>
    <row r="112" spans="2:11">
      <c r="B112" s="139"/>
      <c r="C112" s="948" t="s">
        <v>768</v>
      </c>
      <c r="D112" s="945" t="s">
        <v>1475</v>
      </c>
      <c r="E112" s="947">
        <v>11807</v>
      </c>
      <c r="F112" s="947">
        <v>12087</v>
      </c>
      <c r="H112" s="914"/>
      <c r="I112" s="914"/>
      <c r="J112" s="915"/>
      <c r="K112" s="915"/>
    </row>
    <row r="113" spans="2:11">
      <c r="B113" s="139"/>
      <c r="C113" s="948" t="s">
        <v>770</v>
      </c>
      <c r="D113" s="945" t="s">
        <v>1476</v>
      </c>
      <c r="E113" s="947">
        <v>13109</v>
      </c>
      <c r="F113" s="947">
        <v>13396</v>
      </c>
      <c r="H113" s="914"/>
      <c r="I113" s="914"/>
      <c r="J113" s="915"/>
      <c r="K113" s="915"/>
    </row>
    <row r="114" spans="2:11">
      <c r="B114" s="139"/>
      <c r="C114" s="948" t="s">
        <v>771</v>
      </c>
      <c r="D114" s="945" t="s">
        <v>1477</v>
      </c>
      <c r="E114" s="947">
        <v>12269</v>
      </c>
      <c r="F114" s="947">
        <v>12367</v>
      </c>
      <c r="H114" s="914"/>
      <c r="I114" s="914"/>
      <c r="J114" s="915"/>
      <c r="K114" s="915"/>
    </row>
    <row r="115" spans="2:11">
      <c r="B115" s="139"/>
      <c r="C115" s="948" t="s">
        <v>772</v>
      </c>
      <c r="D115" s="945" t="s">
        <v>1478</v>
      </c>
      <c r="E115" s="947">
        <v>12523</v>
      </c>
      <c r="F115" s="947">
        <v>13055</v>
      </c>
      <c r="H115" s="914"/>
      <c r="I115" s="914"/>
      <c r="J115" s="915"/>
      <c r="K115" s="915"/>
    </row>
    <row r="116" spans="2:11">
      <c r="B116" s="139"/>
      <c r="C116" s="948" t="s">
        <v>773</v>
      </c>
      <c r="D116" s="945" t="s">
        <v>1479</v>
      </c>
      <c r="E116" s="947">
        <v>15158</v>
      </c>
      <c r="F116" s="947">
        <v>15980</v>
      </c>
      <c r="H116" s="914"/>
      <c r="I116" s="914"/>
      <c r="J116" s="915"/>
      <c r="K116" s="915"/>
    </row>
    <row r="117" spans="2:11">
      <c r="B117" s="139"/>
      <c r="C117" s="948" t="s">
        <v>774</v>
      </c>
      <c r="D117" s="945" t="s">
        <v>1480</v>
      </c>
      <c r="E117" s="947">
        <v>17038</v>
      </c>
      <c r="F117" s="947">
        <v>18711</v>
      </c>
      <c r="H117" s="914"/>
      <c r="I117" s="914"/>
      <c r="J117" s="915"/>
      <c r="K117" s="915"/>
    </row>
    <row r="118" spans="2:11">
      <c r="B118" s="139"/>
      <c r="C118" s="948" t="s">
        <v>775</v>
      </c>
      <c r="D118" s="945" t="s">
        <v>1481</v>
      </c>
      <c r="E118" s="947">
        <v>13375</v>
      </c>
      <c r="F118" s="947">
        <v>13879</v>
      </c>
      <c r="H118" s="914"/>
      <c r="I118" s="914"/>
      <c r="J118" s="915"/>
      <c r="K118" s="915"/>
    </row>
    <row r="119" spans="2:11">
      <c r="B119" s="139"/>
      <c r="C119" s="948" t="s">
        <v>776</v>
      </c>
      <c r="D119" s="945" t="s">
        <v>1482</v>
      </c>
      <c r="E119" s="947">
        <v>11762</v>
      </c>
      <c r="F119" s="947">
        <v>11856</v>
      </c>
      <c r="H119" s="914"/>
      <c r="I119" s="914"/>
      <c r="J119" s="915"/>
      <c r="K119" s="915"/>
    </row>
    <row r="120" spans="2:11">
      <c r="B120" s="139"/>
      <c r="C120" s="948" t="s">
        <v>777</v>
      </c>
      <c r="D120" s="945" t="s">
        <v>1483</v>
      </c>
      <c r="E120" s="947">
        <v>14259</v>
      </c>
      <c r="F120" s="947">
        <v>14531</v>
      </c>
      <c r="H120" s="914"/>
      <c r="I120" s="914"/>
      <c r="J120" s="915"/>
      <c r="K120" s="915"/>
    </row>
    <row r="121" spans="2:11">
      <c r="B121" s="139"/>
      <c r="C121" s="948" t="s">
        <v>778</v>
      </c>
      <c r="D121" s="945" t="s">
        <v>1484</v>
      </c>
      <c r="E121" s="947">
        <v>11924</v>
      </c>
      <c r="F121" s="947">
        <v>12255</v>
      </c>
      <c r="H121" s="914"/>
      <c r="I121" s="914"/>
      <c r="J121" s="915"/>
      <c r="K121" s="915"/>
    </row>
    <row r="122" spans="2:11">
      <c r="B122" s="139"/>
      <c r="C122" s="948" t="s">
        <v>779</v>
      </c>
      <c r="D122" s="945" t="s">
        <v>1485</v>
      </c>
      <c r="E122" s="947">
        <v>16094</v>
      </c>
      <c r="F122" s="947">
        <v>16651</v>
      </c>
      <c r="H122" s="914"/>
      <c r="I122" s="914"/>
      <c r="J122" s="915"/>
      <c r="K122" s="915"/>
    </row>
    <row r="123" spans="2:11">
      <c r="B123" s="139"/>
      <c r="C123" s="948" t="s">
        <v>780</v>
      </c>
      <c r="D123" s="945" t="s">
        <v>1486</v>
      </c>
      <c r="E123" s="947">
        <v>13021</v>
      </c>
      <c r="F123" s="947">
        <v>13429</v>
      </c>
      <c r="H123" s="914"/>
      <c r="I123" s="914"/>
      <c r="J123" s="915"/>
      <c r="K123" s="915"/>
    </row>
    <row r="124" spans="2:11">
      <c r="B124" s="139"/>
      <c r="C124" s="948" t="s">
        <v>781</v>
      </c>
      <c r="D124" s="945" t="s">
        <v>1487</v>
      </c>
      <c r="E124" s="947">
        <v>18641</v>
      </c>
      <c r="F124" s="947">
        <v>19336</v>
      </c>
      <c r="H124" s="914"/>
      <c r="I124" s="914"/>
      <c r="J124" s="915"/>
      <c r="K124" s="915"/>
    </row>
    <row r="125" spans="2:11">
      <c r="B125" s="139"/>
      <c r="C125" s="948" t="s">
        <v>782</v>
      </c>
      <c r="D125" s="945" t="s">
        <v>1488</v>
      </c>
      <c r="E125" s="947">
        <v>13827</v>
      </c>
      <c r="F125" s="947">
        <v>14130</v>
      </c>
      <c r="H125" s="914"/>
      <c r="I125" s="914"/>
      <c r="J125" s="915"/>
      <c r="K125" s="915"/>
    </row>
    <row r="126" spans="2:11">
      <c r="B126" s="139"/>
      <c r="C126" s="948" t="s">
        <v>783</v>
      </c>
      <c r="D126" s="945" t="s">
        <v>1489</v>
      </c>
      <c r="E126" s="947">
        <v>17096</v>
      </c>
      <c r="F126" s="947">
        <v>17628</v>
      </c>
      <c r="H126" s="914"/>
      <c r="I126" s="914"/>
      <c r="J126" s="915"/>
      <c r="K126" s="915"/>
    </row>
    <row r="127" spans="2:11">
      <c r="B127" s="139"/>
      <c r="C127" s="948" t="s">
        <v>784</v>
      </c>
      <c r="D127" s="945" t="s">
        <v>1490</v>
      </c>
      <c r="E127" s="947">
        <v>16472</v>
      </c>
      <c r="F127" s="947">
        <v>16709</v>
      </c>
      <c r="H127" s="914"/>
      <c r="I127" s="914"/>
      <c r="J127" s="915"/>
      <c r="K127" s="915"/>
    </row>
    <row r="128" spans="2:11">
      <c r="B128" s="139"/>
      <c r="C128" s="948" t="s">
        <v>785</v>
      </c>
      <c r="D128" s="945" t="s">
        <v>1491</v>
      </c>
      <c r="E128" s="947">
        <v>13615</v>
      </c>
      <c r="F128" s="947">
        <v>14328</v>
      </c>
      <c r="H128" s="914"/>
      <c r="I128" s="914"/>
      <c r="J128" s="915"/>
      <c r="K128" s="915"/>
    </row>
    <row r="129" spans="2:11">
      <c r="B129" s="139"/>
      <c r="C129" s="948" t="s">
        <v>786</v>
      </c>
      <c r="D129" s="945" t="s">
        <v>1492</v>
      </c>
      <c r="E129" s="947">
        <v>14664</v>
      </c>
      <c r="F129" s="947">
        <v>15120</v>
      </c>
      <c r="H129" s="914"/>
      <c r="I129" s="914"/>
      <c r="J129" s="915"/>
      <c r="K129" s="915"/>
    </row>
    <row r="130" spans="2:11">
      <c r="B130" s="139"/>
      <c r="C130" s="948" t="s">
        <v>787</v>
      </c>
      <c r="D130" s="945" t="s">
        <v>1493</v>
      </c>
      <c r="E130" s="947">
        <v>21234</v>
      </c>
      <c r="F130" s="947">
        <v>21646</v>
      </c>
      <c r="H130" s="914"/>
      <c r="I130" s="914"/>
      <c r="J130" s="915"/>
      <c r="K130" s="915"/>
    </row>
    <row r="131" spans="2:11">
      <c r="B131" s="139"/>
      <c r="C131" s="948" t="s">
        <v>788</v>
      </c>
      <c r="D131" s="945" t="s">
        <v>1494</v>
      </c>
      <c r="E131" s="947">
        <v>21630</v>
      </c>
      <c r="F131" s="947">
        <v>22735</v>
      </c>
      <c r="H131" s="914"/>
      <c r="I131" s="914"/>
      <c r="J131" s="915"/>
      <c r="K131" s="915"/>
    </row>
    <row r="132" spans="2:11">
      <c r="B132" s="139"/>
      <c r="C132" s="948" t="s">
        <v>789</v>
      </c>
      <c r="D132" s="945" t="s">
        <v>1495</v>
      </c>
      <c r="E132" s="947">
        <v>16226</v>
      </c>
      <c r="F132" s="947">
        <v>16129</v>
      </c>
      <c r="H132" s="914"/>
      <c r="I132" s="914"/>
      <c r="J132" s="915"/>
      <c r="K132" s="915"/>
    </row>
    <row r="133" spans="2:11">
      <c r="B133" s="139"/>
      <c r="C133" s="948" t="s">
        <v>731</v>
      </c>
      <c r="D133" s="945" t="s">
        <v>1496</v>
      </c>
      <c r="E133" s="947">
        <v>15780</v>
      </c>
      <c r="F133" s="947">
        <v>16294</v>
      </c>
      <c r="H133" s="914"/>
      <c r="I133" s="914"/>
      <c r="J133" s="915"/>
      <c r="K133" s="915"/>
    </row>
    <row r="134" spans="2:11">
      <c r="B134" s="139"/>
      <c r="C134" s="948" t="s">
        <v>790</v>
      </c>
      <c r="D134" s="945" t="s">
        <v>1497</v>
      </c>
      <c r="E134" s="947">
        <v>18484</v>
      </c>
      <c r="F134" s="947">
        <v>18928</v>
      </c>
      <c r="H134" s="914"/>
      <c r="I134" s="914"/>
      <c r="J134" s="915"/>
      <c r="K134" s="915"/>
    </row>
    <row r="135" spans="2:11">
      <c r="B135" s="139"/>
      <c r="C135" s="948" t="s">
        <v>791</v>
      </c>
      <c r="D135" s="945" t="s">
        <v>1498</v>
      </c>
      <c r="E135" s="947">
        <v>14060</v>
      </c>
      <c r="F135" s="947">
        <v>14790</v>
      </c>
      <c r="H135" s="914"/>
      <c r="I135" s="914"/>
      <c r="J135" s="915"/>
      <c r="K135" s="915"/>
    </row>
    <row r="136" spans="2:11">
      <c r="B136" s="139"/>
      <c r="C136" s="948" t="s">
        <v>792</v>
      </c>
      <c r="D136" s="945" t="s">
        <v>1499</v>
      </c>
      <c r="E136" s="947">
        <v>11278</v>
      </c>
      <c r="F136" s="947">
        <v>11643</v>
      </c>
      <c r="H136" s="914"/>
      <c r="I136" s="914"/>
      <c r="J136" s="915"/>
      <c r="K136" s="915"/>
    </row>
    <row r="137" spans="2:11">
      <c r="B137" s="139"/>
      <c r="C137" s="948" t="s">
        <v>793</v>
      </c>
      <c r="D137" s="945" t="s">
        <v>1500</v>
      </c>
      <c r="E137" s="947">
        <v>18229</v>
      </c>
      <c r="F137" s="947">
        <v>19284</v>
      </c>
      <c r="H137" s="914"/>
      <c r="I137" s="914"/>
      <c r="J137" s="915"/>
      <c r="K137" s="915"/>
    </row>
    <row r="138" spans="2:11">
      <c r="B138" s="139"/>
      <c r="C138" s="948" t="s">
        <v>794</v>
      </c>
      <c r="D138" s="945" t="s">
        <v>1501</v>
      </c>
      <c r="E138" s="947">
        <v>11929</v>
      </c>
      <c r="F138" s="947">
        <v>12685</v>
      </c>
      <c r="H138" s="914"/>
      <c r="I138" s="914"/>
      <c r="J138" s="915"/>
      <c r="K138" s="915"/>
    </row>
    <row r="139" spans="2:11">
      <c r="B139" s="139"/>
      <c r="C139" s="948" t="s">
        <v>795</v>
      </c>
      <c r="D139" s="945" t="s">
        <v>1502</v>
      </c>
      <c r="E139" s="947">
        <v>12843</v>
      </c>
      <c r="F139" s="947">
        <v>12874</v>
      </c>
      <c r="H139" s="914"/>
      <c r="I139" s="914"/>
      <c r="J139" s="915"/>
      <c r="K139" s="915"/>
    </row>
    <row r="140" spans="2:11">
      <c r="B140" s="139"/>
      <c r="C140" s="948" t="s">
        <v>796</v>
      </c>
      <c r="D140" s="945" t="s">
        <v>1503</v>
      </c>
      <c r="E140" s="947">
        <v>13242</v>
      </c>
      <c r="F140" s="947">
        <v>13748</v>
      </c>
      <c r="H140" s="914"/>
      <c r="I140" s="914"/>
      <c r="J140" s="915"/>
      <c r="K140" s="915"/>
    </row>
    <row r="141" spans="2:11">
      <c r="B141" s="139"/>
      <c r="C141" s="948" t="s">
        <v>797</v>
      </c>
      <c r="D141" s="945" t="s">
        <v>1504</v>
      </c>
      <c r="E141" s="947">
        <v>12043</v>
      </c>
      <c r="F141" s="947">
        <v>12767</v>
      </c>
      <c r="H141" s="914"/>
      <c r="I141" s="914"/>
      <c r="J141" s="915"/>
      <c r="K141" s="915"/>
    </row>
    <row r="142" spans="2:11">
      <c r="B142" s="139"/>
      <c r="C142" s="948" t="s">
        <v>798</v>
      </c>
      <c r="D142" s="945" t="s">
        <v>1505</v>
      </c>
      <c r="E142" s="947">
        <v>13661</v>
      </c>
      <c r="F142" s="947">
        <v>13897</v>
      </c>
      <c r="H142" s="914"/>
      <c r="I142" s="914"/>
      <c r="J142" s="915"/>
      <c r="K142" s="915"/>
    </row>
    <row r="143" spans="2:11">
      <c r="B143" s="139"/>
      <c r="C143" s="948" t="s">
        <v>799</v>
      </c>
      <c r="D143" s="945" t="s">
        <v>1506</v>
      </c>
      <c r="E143" s="947">
        <v>17200</v>
      </c>
      <c r="F143" s="947">
        <v>17728</v>
      </c>
      <c r="H143" s="914"/>
      <c r="I143" s="914"/>
      <c r="J143" s="915"/>
      <c r="K143" s="915"/>
    </row>
    <row r="144" spans="2:11">
      <c r="B144" s="139"/>
      <c r="C144" s="948" t="s">
        <v>800</v>
      </c>
      <c r="D144" s="945" t="s">
        <v>1507</v>
      </c>
      <c r="E144" s="947">
        <v>18940</v>
      </c>
      <c r="F144" s="947">
        <v>19974</v>
      </c>
      <c r="H144" s="914"/>
      <c r="I144" s="914"/>
      <c r="J144" s="915"/>
      <c r="K144" s="915"/>
    </row>
    <row r="145" spans="2:11">
      <c r="B145" s="139"/>
      <c r="C145" s="948" t="s">
        <v>801</v>
      </c>
      <c r="D145" s="945" t="s">
        <v>1508</v>
      </c>
      <c r="E145" s="947">
        <v>14136</v>
      </c>
      <c r="F145" s="947">
        <v>14788</v>
      </c>
      <c r="H145" s="914"/>
      <c r="I145" s="914"/>
      <c r="J145" s="915"/>
      <c r="K145" s="915"/>
    </row>
    <row r="146" spans="2:11">
      <c r="B146" s="139"/>
      <c r="C146" s="948" t="s">
        <v>803</v>
      </c>
      <c r="D146" s="945" t="s">
        <v>1509</v>
      </c>
      <c r="E146" s="947">
        <v>13400</v>
      </c>
      <c r="F146" s="947">
        <v>13797</v>
      </c>
      <c r="H146" s="914"/>
      <c r="I146" s="914"/>
      <c r="J146" s="915"/>
      <c r="K146" s="915"/>
    </row>
    <row r="147" spans="2:11">
      <c r="B147" s="139"/>
      <c r="C147" s="948" t="s">
        <v>804</v>
      </c>
      <c r="D147" s="945" t="s">
        <v>1510</v>
      </c>
      <c r="E147" s="947">
        <v>16635</v>
      </c>
      <c r="F147" s="947">
        <v>16871</v>
      </c>
      <c r="H147" s="914"/>
      <c r="I147" s="914"/>
      <c r="J147" s="915"/>
      <c r="K147" s="915"/>
    </row>
    <row r="148" spans="2:11">
      <c r="B148" s="139"/>
      <c r="C148" s="948" t="s">
        <v>805</v>
      </c>
      <c r="D148" s="945" t="s">
        <v>1511</v>
      </c>
      <c r="E148" s="947">
        <v>15600</v>
      </c>
      <c r="F148" s="947">
        <v>15984</v>
      </c>
      <c r="H148" s="914"/>
      <c r="I148" s="914"/>
      <c r="J148" s="915"/>
      <c r="K148" s="915"/>
    </row>
    <row r="149" spans="2:11">
      <c r="B149" s="139"/>
      <c r="C149" s="948" t="s">
        <v>806</v>
      </c>
      <c r="D149" s="945" t="s">
        <v>1512</v>
      </c>
      <c r="E149" s="947">
        <v>11538</v>
      </c>
      <c r="F149" s="947">
        <v>11888</v>
      </c>
      <c r="H149" s="914"/>
      <c r="I149" s="914"/>
      <c r="J149" s="915"/>
      <c r="K149" s="915"/>
    </row>
    <row r="150" spans="2:11">
      <c r="B150" s="139"/>
      <c r="C150" s="948" t="s">
        <v>807</v>
      </c>
      <c r="D150" s="945" t="s">
        <v>1513</v>
      </c>
      <c r="E150" s="947">
        <v>15029</v>
      </c>
      <c r="F150" s="947">
        <v>15448</v>
      </c>
      <c r="H150" s="914"/>
      <c r="I150" s="914"/>
      <c r="J150" s="915"/>
      <c r="K150" s="915"/>
    </row>
    <row r="151" spans="2:11">
      <c r="B151" s="139"/>
      <c r="C151" s="948" t="s">
        <v>808</v>
      </c>
      <c r="D151" s="945" t="s">
        <v>1514</v>
      </c>
      <c r="E151" s="947">
        <v>13217</v>
      </c>
      <c r="F151" s="947">
        <v>13898</v>
      </c>
      <c r="H151" s="914"/>
      <c r="I151" s="914"/>
      <c r="J151" s="915"/>
      <c r="K151" s="915"/>
    </row>
    <row r="152" spans="2:11">
      <c r="B152" s="139"/>
      <c r="C152" s="948" t="s">
        <v>809</v>
      </c>
      <c r="D152" s="945" t="s">
        <v>1515</v>
      </c>
      <c r="E152" s="947">
        <v>22177</v>
      </c>
      <c r="F152" s="947">
        <v>22769</v>
      </c>
      <c r="H152" s="914"/>
      <c r="I152" s="914"/>
      <c r="J152" s="915"/>
      <c r="K152" s="915"/>
    </row>
    <row r="153" spans="2:11">
      <c r="B153" s="139"/>
      <c r="C153" s="948" t="s">
        <v>810</v>
      </c>
      <c r="D153" s="945" t="s">
        <v>1516</v>
      </c>
      <c r="E153" s="947">
        <v>11045</v>
      </c>
      <c r="F153" s="947">
        <v>10863</v>
      </c>
      <c r="H153" s="914"/>
      <c r="I153" s="914"/>
      <c r="J153" s="915"/>
      <c r="K153" s="915"/>
    </row>
    <row r="154" spans="2:11">
      <c r="B154" s="139"/>
      <c r="C154" s="948" t="s">
        <v>811</v>
      </c>
      <c r="D154" s="945" t="s">
        <v>1517</v>
      </c>
      <c r="E154" s="947">
        <v>13390</v>
      </c>
      <c r="F154" s="947">
        <v>13943</v>
      </c>
      <c r="H154" s="914"/>
      <c r="I154" s="914"/>
      <c r="J154" s="915"/>
      <c r="K154" s="915"/>
    </row>
    <row r="155" spans="2:11">
      <c r="B155" s="139"/>
      <c r="C155" s="948" t="s">
        <v>812</v>
      </c>
      <c r="D155" s="945" t="s">
        <v>1518</v>
      </c>
      <c r="E155" s="947">
        <v>19931</v>
      </c>
      <c r="F155" s="947">
        <v>20796</v>
      </c>
      <c r="H155" s="914"/>
      <c r="I155" s="914"/>
      <c r="J155" s="915"/>
      <c r="K155" s="915"/>
    </row>
    <row r="156" spans="2:11">
      <c r="B156" s="139"/>
      <c r="C156" s="948" t="s">
        <v>813</v>
      </c>
      <c r="D156" s="945" t="s">
        <v>1519</v>
      </c>
      <c r="E156" s="947">
        <v>13026</v>
      </c>
      <c r="F156" s="947">
        <v>13696</v>
      </c>
      <c r="H156" s="914"/>
      <c r="I156" s="914"/>
      <c r="J156" s="915"/>
      <c r="K156" s="915"/>
    </row>
    <row r="157" spans="2:11">
      <c r="B157" s="139"/>
      <c r="C157" s="948" t="s">
        <v>814</v>
      </c>
      <c r="D157" s="945" t="s">
        <v>1520</v>
      </c>
      <c r="E157" s="947">
        <v>10253</v>
      </c>
      <c r="F157" s="947">
        <v>10888</v>
      </c>
      <c r="H157" s="914"/>
      <c r="I157" s="914"/>
      <c r="J157" s="915"/>
      <c r="K157" s="915"/>
    </row>
    <row r="158" spans="2:11">
      <c r="B158" s="139"/>
      <c r="C158" s="948" t="s">
        <v>815</v>
      </c>
      <c r="D158" s="945" t="s">
        <v>1521</v>
      </c>
      <c r="E158" s="947">
        <v>10374</v>
      </c>
      <c r="F158" s="947">
        <v>10351</v>
      </c>
      <c r="H158" s="914"/>
      <c r="I158" s="914"/>
      <c r="J158" s="915"/>
      <c r="K158" s="915"/>
    </row>
    <row r="159" spans="2:11">
      <c r="B159" s="139"/>
      <c r="C159" s="948" t="s">
        <v>816</v>
      </c>
      <c r="D159" s="945" t="s">
        <v>1522</v>
      </c>
      <c r="E159" s="947">
        <v>15391</v>
      </c>
      <c r="F159" s="947">
        <v>16176</v>
      </c>
      <c r="H159" s="914"/>
      <c r="I159" s="914"/>
      <c r="J159" s="915"/>
      <c r="K159" s="915"/>
    </row>
    <row r="160" spans="2:11">
      <c r="B160" s="139"/>
      <c r="C160" s="948" t="s">
        <v>817</v>
      </c>
      <c r="D160" s="945" t="s">
        <v>1523</v>
      </c>
      <c r="E160" s="947">
        <v>12126</v>
      </c>
      <c r="F160" s="947">
        <v>12691</v>
      </c>
      <c r="H160" s="914"/>
      <c r="I160" s="914"/>
      <c r="J160" s="915"/>
      <c r="K160" s="915"/>
    </row>
    <row r="161" spans="2:11">
      <c r="B161" s="139"/>
      <c r="C161" s="948" t="s">
        <v>819</v>
      </c>
      <c r="D161" s="945" t="s">
        <v>1524</v>
      </c>
      <c r="E161" s="947">
        <v>13818</v>
      </c>
      <c r="F161" s="947">
        <v>14484</v>
      </c>
      <c r="H161" s="914"/>
      <c r="I161" s="914"/>
      <c r="J161" s="915"/>
      <c r="K161" s="915"/>
    </row>
    <row r="162" spans="2:11">
      <c r="B162" s="139"/>
      <c r="C162" s="948" t="s">
        <v>820</v>
      </c>
      <c r="D162" s="945" t="s">
        <v>1525</v>
      </c>
      <c r="E162" s="947">
        <v>25462</v>
      </c>
      <c r="F162" s="947">
        <v>26175</v>
      </c>
      <c r="H162" s="914"/>
      <c r="I162" s="914"/>
      <c r="J162" s="915"/>
      <c r="K162" s="915"/>
    </row>
    <row r="163" spans="2:11">
      <c r="B163" s="139"/>
      <c r="C163" s="948" t="s">
        <v>821</v>
      </c>
      <c r="D163" s="945" t="s">
        <v>1526</v>
      </c>
      <c r="E163" s="947">
        <v>13981</v>
      </c>
      <c r="F163" s="947">
        <v>14391</v>
      </c>
      <c r="H163" s="914"/>
      <c r="I163" s="914"/>
      <c r="J163" s="915"/>
      <c r="K163" s="915"/>
    </row>
    <row r="164" spans="2:11">
      <c r="B164" s="139"/>
      <c r="C164" s="948" t="s">
        <v>822</v>
      </c>
      <c r="D164" s="945" t="s">
        <v>1527</v>
      </c>
      <c r="E164" s="947">
        <v>15228</v>
      </c>
      <c r="F164" s="947">
        <v>15312</v>
      </c>
      <c r="H164" s="914"/>
      <c r="I164" s="914"/>
      <c r="J164" s="915"/>
      <c r="K164" s="915"/>
    </row>
    <row r="165" spans="2:11">
      <c r="B165" s="139"/>
      <c r="C165" s="948" t="s">
        <v>823</v>
      </c>
      <c r="D165" s="945" t="s">
        <v>1528</v>
      </c>
      <c r="E165" s="947">
        <v>17471</v>
      </c>
      <c r="F165" s="947">
        <v>18034</v>
      </c>
      <c r="H165" s="914"/>
      <c r="I165" s="914"/>
      <c r="J165" s="915"/>
      <c r="K165" s="915"/>
    </row>
    <row r="166" spans="2:11">
      <c r="B166" s="139"/>
      <c r="C166" s="948" t="s">
        <v>824</v>
      </c>
      <c r="D166" s="945" t="s">
        <v>1529</v>
      </c>
      <c r="E166" s="947">
        <v>17956</v>
      </c>
      <c r="F166" s="947">
        <v>18211</v>
      </c>
      <c r="H166" s="914"/>
      <c r="I166" s="914"/>
      <c r="J166" s="915"/>
      <c r="K166" s="915"/>
    </row>
    <row r="167" spans="2:11">
      <c r="B167" s="139"/>
      <c r="C167" s="948" t="s">
        <v>825</v>
      </c>
      <c r="D167" s="945" t="s">
        <v>1530</v>
      </c>
      <c r="E167" s="947">
        <v>23025</v>
      </c>
      <c r="F167" s="947">
        <v>23739</v>
      </c>
      <c r="H167" s="914"/>
      <c r="I167" s="914"/>
      <c r="J167" s="915"/>
      <c r="K167" s="915"/>
    </row>
    <row r="168" spans="2:11">
      <c r="B168" s="139"/>
      <c r="C168" s="948" t="s">
        <v>826</v>
      </c>
      <c r="D168" s="945" t="s">
        <v>1531</v>
      </c>
      <c r="E168" s="947">
        <v>17234</v>
      </c>
      <c r="F168" s="947">
        <v>16446</v>
      </c>
      <c r="H168" s="914"/>
      <c r="I168" s="914"/>
      <c r="J168" s="915"/>
      <c r="K168" s="915"/>
    </row>
    <row r="169" spans="2:11">
      <c r="B169" s="139"/>
      <c r="C169" s="948" t="s">
        <v>827</v>
      </c>
      <c r="D169" s="945" t="s">
        <v>1532</v>
      </c>
      <c r="E169" s="947">
        <v>14647</v>
      </c>
      <c r="F169" s="947">
        <v>15126</v>
      </c>
      <c r="H169" s="914"/>
      <c r="I169" s="914"/>
      <c r="J169" s="915"/>
      <c r="K169" s="915"/>
    </row>
    <row r="170" spans="2:11">
      <c r="B170" s="139"/>
      <c r="C170" s="948" t="s">
        <v>828</v>
      </c>
      <c r="D170" s="945" t="s">
        <v>1533</v>
      </c>
      <c r="E170" s="947">
        <v>20051</v>
      </c>
      <c r="F170" s="947">
        <v>20524</v>
      </c>
      <c r="H170" s="914"/>
      <c r="I170" s="914"/>
      <c r="J170" s="915"/>
      <c r="K170" s="915"/>
    </row>
    <row r="171" spans="2:11">
      <c r="B171" s="139"/>
      <c r="C171" s="948" t="s">
        <v>829</v>
      </c>
      <c r="D171" s="945" t="s">
        <v>1534</v>
      </c>
      <c r="E171" s="947">
        <v>16309</v>
      </c>
      <c r="F171" s="947">
        <v>16813</v>
      </c>
      <c r="H171" s="914"/>
      <c r="I171" s="914"/>
      <c r="J171" s="915"/>
      <c r="K171" s="915"/>
    </row>
    <row r="172" spans="2:11">
      <c r="B172" s="139"/>
      <c r="C172" s="948" t="s">
        <v>830</v>
      </c>
      <c r="D172" s="945" t="s">
        <v>1535</v>
      </c>
      <c r="E172" s="947">
        <v>22710</v>
      </c>
      <c r="F172" s="947">
        <v>22871</v>
      </c>
      <c r="H172" s="914"/>
      <c r="I172" s="914"/>
      <c r="J172" s="915"/>
      <c r="K172" s="915"/>
    </row>
    <row r="173" spans="2:11">
      <c r="B173" s="139"/>
      <c r="C173" s="948" t="s">
        <v>831</v>
      </c>
      <c r="D173" s="945" t="s">
        <v>1536</v>
      </c>
      <c r="E173" s="947">
        <v>20204</v>
      </c>
      <c r="F173" s="947">
        <v>20794</v>
      </c>
      <c r="H173" s="914"/>
      <c r="I173" s="914"/>
      <c r="J173" s="915"/>
      <c r="K173" s="915"/>
    </row>
    <row r="174" spans="2:11">
      <c r="B174" s="139"/>
      <c r="C174" s="948" t="s">
        <v>832</v>
      </c>
      <c r="D174" s="945" t="s">
        <v>1537</v>
      </c>
      <c r="E174" s="947">
        <v>14193</v>
      </c>
      <c r="F174" s="947">
        <v>15013</v>
      </c>
      <c r="H174" s="914"/>
      <c r="I174" s="914"/>
      <c r="J174" s="915"/>
      <c r="K174" s="915"/>
    </row>
    <row r="175" spans="2:11">
      <c r="B175" s="139"/>
      <c r="C175" s="948" t="s">
        <v>833</v>
      </c>
      <c r="D175" s="945" t="s">
        <v>1538</v>
      </c>
      <c r="E175" s="947">
        <v>12097</v>
      </c>
      <c r="F175" s="947">
        <v>12520</v>
      </c>
      <c r="H175" s="914"/>
      <c r="I175" s="914"/>
      <c r="J175" s="915"/>
      <c r="K175" s="915"/>
    </row>
    <row r="176" spans="2:11">
      <c r="B176" s="139"/>
      <c r="C176" s="948" t="s">
        <v>834</v>
      </c>
      <c r="D176" s="945" t="s">
        <v>1539</v>
      </c>
      <c r="E176" s="947">
        <v>20605</v>
      </c>
      <c r="F176" s="947">
        <v>21135</v>
      </c>
      <c r="H176" s="914"/>
      <c r="I176" s="914"/>
      <c r="J176" s="915"/>
      <c r="K176" s="915"/>
    </row>
    <row r="177" spans="2:11">
      <c r="B177" s="139"/>
      <c r="C177" s="948" t="s">
        <v>835</v>
      </c>
      <c r="D177" s="945" t="s">
        <v>1540</v>
      </c>
      <c r="E177" s="947">
        <v>23504</v>
      </c>
      <c r="F177" s="947">
        <v>22195</v>
      </c>
      <c r="H177" s="914"/>
      <c r="I177" s="914"/>
      <c r="J177" s="915"/>
      <c r="K177" s="915"/>
    </row>
    <row r="178" spans="2:11">
      <c r="B178" s="139"/>
      <c r="C178" s="948" t="s">
        <v>836</v>
      </c>
      <c r="D178" s="945" t="s">
        <v>1541</v>
      </c>
      <c r="E178" s="947">
        <v>13638</v>
      </c>
      <c r="F178" s="947">
        <v>14226</v>
      </c>
      <c r="H178" s="914"/>
      <c r="I178" s="914"/>
      <c r="J178" s="915"/>
      <c r="K178" s="915"/>
    </row>
    <row r="179" spans="2:11">
      <c r="B179" s="139"/>
      <c r="C179" s="948" t="s">
        <v>837</v>
      </c>
      <c r="D179" s="945" t="s">
        <v>1542</v>
      </c>
      <c r="E179" s="947">
        <v>12406</v>
      </c>
      <c r="F179" s="947">
        <v>13338</v>
      </c>
      <c r="H179" s="914"/>
      <c r="I179" s="914"/>
      <c r="J179" s="915"/>
      <c r="K179" s="915"/>
    </row>
    <row r="180" spans="2:11">
      <c r="B180" s="139"/>
      <c r="C180" s="948" t="s">
        <v>838</v>
      </c>
      <c r="D180" s="945" t="s">
        <v>1543</v>
      </c>
      <c r="E180" s="947">
        <v>14281</v>
      </c>
      <c r="F180" s="947">
        <v>14877</v>
      </c>
      <c r="H180" s="914"/>
      <c r="I180" s="914"/>
      <c r="J180" s="915"/>
      <c r="K180" s="915"/>
    </row>
    <row r="181" spans="2:11">
      <c r="B181" s="139"/>
      <c r="C181" s="948" t="s">
        <v>839</v>
      </c>
      <c r="D181" s="945" t="s">
        <v>1544</v>
      </c>
      <c r="E181" s="947">
        <v>13146</v>
      </c>
      <c r="F181" s="947">
        <v>12264</v>
      </c>
      <c r="H181" s="914"/>
      <c r="I181" s="914"/>
      <c r="J181" s="915"/>
      <c r="K181" s="915"/>
    </row>
    <row r="182" spans="2:11">
      <c r="B182" s="139"/>
      <c r="C182" s="948" t="s">
        <v>840</v>
      </c>
      <c r="D182" s="945" t="s">
        <v>1545</v>
      </c>
      <c r="E182" s="947">
        <v>18905</v>
      </c>
      <c r="F182" s="947">
        <v>19550</v>
      </c>
      <c r="H182" s="914"/>
      <c r="I182" s="914"/>
      <c r="J182" s="915"/>
      <c r="K182" s="915"/>
    </row>
    <row r="183" spans="2:11">
      <c r="B183" s="139"/>
      <c r="C183" s="948" t="s">
        <v>841</v>
      </c>
      <c r="D183" s="945" t="s">
        <v>1546</v>
      </c>
      <c r="E183" s="947">
        <v>13525</v>
      </c>
      <c r="F183" s="947">
        <v>14454</v>
      </c>
      <c r="H183" s="914"/>
      <c r="I183" s="914"/>
      <c r="J183" s="915"/>
      <c r="K183" s="915"/>
    </row>
    <row r="184" spans="2:11">
      <c r="B184" s="139"/>
      <c r="C184" s="948" t="s">
        <v>842</v>
      </c>
      <c r="D184" s="945" t="s">
        <v>1547</v>
      </c>
      <c r="E184" s="947">
        <v>12981</v>
      </c>
      <c r="F184" s="947">
        <v>13017</v>
      </c>
      <c r="H184" s="914"/>
      <c r="I184" s="914"/>
      <c r="J184" s="915"/>
      <c r="K184" s="915"/>
    </row>
    <row r="185" spans="2:11">
      <c r="B185" s="139"/>
      <c r="C185" s="948" t="s">
        <v>843</v>
      </c>
      <c r="D185" s="945" t="s">
        <v>1548</v>
      </c>
      <c r="E185" s="947">
        <v>11844</v>
      </c>
      <c r="F185" s="947">
        <v>12735</v>
      </c>
      <c r="H185" s="914"/>
      <c r="I185" s="914"/>
      <c r="J185" s="915"/>
      <c r="K185" s="915"/>
    </row>
    <row r="186" spans="2:11">
      <c r="B186" s="139"/>
      <c r="C186" s="948" t="s">
        <v>844</v>
      </c>
      <c r="D186" s="945" t="s">
        <v>1549</v>
      </c>
      <c r="E186" s="947">
        <v>16052</v>
      </c>
      <c r="F186" s="947">
        <v>16551</v>
      </c>
      <c r="H186" s="914"/>
      <c r="I186" s="914"/>
      <c r="J186" s="915"/>
      <c r="K186" s="915"/>
    </row>
    <row r="187" spans="2:11">
      <c r="B187" s="139"/>
      <c r="C187" s="948" t="s">
        <v>845</v>
      </c>
      <c r="D187" s="945" t="s">
        <v>1550</v>
      </c>
      <c r="E187" s="947">
        <v>25552</v>
      </c>
      <c r="F187" s="947">
        <v>26451</v>
      </c>
      <c r="H187" s="914"/>
      <c r="I187" s="914"/>
      <c r="J187" s="915"/>
      <c r="K187" s="915"/>
    </row>
    <row r="188" spans="2:11">
      <c r="B188" s="139"/>
      <c r="C188" s="948" t="s">
        <v>846</v>
      </c>
      <c r="D188" s="945" t="s">
        <v>1551</v>
      </c>
      <c r="E188" s="947">
        <v>16077</v>
      </c>
      <c r="F188" s="947">
        <v>16452</v>
      </c>
      <c r="H188" s="914"/>
      <c r="I188" s="914"/>
      <c r="J188" s="915"/>
      <c r="K188" s="915"/>
    </row>
    <row r="189" spans="2:11">
      <c r="B189" s="139"/>
      <c r="C189" s="948" t="s">
        <v>848</v>
      </c>
      <c r="D189" s="945" t="s">
        <v>1552</v>
      </c>
      <c r="E189" s="947">
        <v>13818</v>
      </c>
      <c r="F189" s="947">
        <v>14344</v>
      </c>
      <c r="H189" s="914"/>
      <c r="I189" s="914"/>
      <c r="J189" s="915"/>
      <c r="K189" s="915"/>
    </row>
    <row r="190" spans="2:11">
      <c r="B190" s="139"/>
      <c r="C190" s="948" t="s">
        <v>849</v>
      </c>
      <c r="D190" s="945" t="s">
        <v>1553</v>
      </c>
      <c r="E190" s="947">
        <v>12280</v>
      </c>
      <c r="F190" s="947">
        <v>12752</v>
      </c>
      <c r="H190" s="914"/>
      <c r="I190" s="914"/>
      <c r="J190" s="915"/>
      <c r="K190" s="915"/>
    </row>
    <row r="191" spans="2:11">
      <c r="B191" s="139"/>
      <c r="C191" s="948" t="s">
        <v>850</v>
      </c>
      <c r="D191" s="945" t="s">
        <v>1554</v>
      </c>
      <c r="E191" s="947">
        <v>11542</v>
      </c>
      <c r="F191" s="947">
        <v>11986</v>
      </c>
      <c r="H191" s="914"/>
      <c r="I191" s="914"/>
      <c r="J191" s="915"/>
      <c r="K191" s="915"/>
    </row>
    <row r="192" spans="2:11">
      <c r="B192" s="139"/>
      <c r="C192" s="948" t="s">
        <v>851</v>
      </c>
      <c r="D192" s="945" t="s">
        <v>1555</v>
      </c>
      <c r="E192" s="947">
        <v>21341</v>
      </c>
      <c r="F192" s="947">
        <v>22764</v>
      </c>
      <c r="H192" s="914"/>
      <c r="I192" s="914"/>
      <c r="J192" s="915"/>
      <c r="K192" s="915"/>
    </row>
    <row r="193" spans="2:11">
      <c r="B193" s="139"/>
      <c r="C193" s="948" t="s">
        <v>852</v>
      </c>
      <c r="D193" s="945" t="s">
        <v>1556</v>
      </c>
      <c r="E193" s="947">
        <v>19621</v>
      </c>
      <c r="F193" s="947">
        <v>20433</v>
      </c>
      <c r="H193" s="914"/>
      <c r="I193" s="914"/>
      <c r="J193" s="915"/>
      <c r="K193" s="915"/>
    </row>
    <row r="194" spans="2:11">
      <c r="B194" s="139"/>
      <c r="C194" s="948" t="s">
        <v>853</v>
      </c>
      <c r="D194" s="945" t="s">
        <v>1557</v>
      </c>
      <c r="E194" s="947">
        <v>13346</v>
      </c>
      <c r="F194" s="947">
        <v>13976</v>
      </c>
      <c r="H194" s="914"/>
      <c r="I194" s="914"/>
      <c r="J194" s="915"/>
      <c r="K194" s="915"/>
    </row>
    <row r="195" spans="2:11">
      <c r="B195" s="139"/>
      <c r="C195" s="948" t="s">
        <v>854</v>
      </c>
      <c r="D195" s="945" t="s">
        <v>1558</v>
      </c>
      <c r="E195" s="947">
        <v>10869</v>
      </c>
      <c r="F195" s="947">
        <v>11420</v>
      </c>
      <c r="H195" s="914"/>
      <c r="I195" s="914"/>
      <c r="J195" s="915"/>
      <c r="K195" s="915"/>
    </row>
    <row r="196" spans="2:11">
      <c r="B196" s="139"/>
      <c r="C196" s="948" t="s">
        <v>855</v>
      </c>
      <c r="D196" s="945" t="s">
        <v>1559</v>
      </c>
      <c r="E196" s="947">
        <v>113268</v>
      </c>
      <c r="F196" s="947">
        <v>111241</v>
      </c>
      <c r="H196" s="914"/>
      <c r="I196" s="914"/>
      <c r="J196" s="915"/>
      <c r="K196" s="915"/>
    </row>
    <row r="197" spans="2:11">
      <c r="B197" s="139"/>
      <c r="C197" s="948" t="s">
        <v>856</v>
      </c>
      <c r="D197" s="945" t="s">
        <v>1560</v>
      </c>
      <c r="E197" s="947">
        <v>0</v>
      </c>
      <c r="F197" s="947">
        <v>0</v>
      </c>
      <c r="H197" s="914"/>
      <c r="I197" s="914"/>
      <c r="J197" s="915"/>
      <c r="K197" s="915"/>
    </row>
    <row r="198" spans="2:11">
      <c r="B198" s="139"/>
      <c r="C198" s="948" t="s">
        <v>857</v>
      </c>
      <c r="D198" s="945" t="s">
        <v>1561</v>
      </c>
      <c r="E198" s="947">
        <v>16503</v>
      </c>
      <c r="F198" s="947">
        <v>16858</v>
      </c>
      <c r="H198" s="914"/>
      <c r="I198" s="914"/>
      <c r="J198" s="915"/>
      <c r="K198" s="915"/>
    </row>
    <row r="199" spans="2:11">
      <c r="B199" s="139"/>
      <c r="C199" s="948" t="s">
        <v>858</v>
      </c>
      <c r="D199" s="945" t="s">
        <v>1562</v>
      </c>
      <c r="E199" s="947">
        <v>16108</v>
      </c>
      <c r="F199" s="947">
        <v>16651</v>
      </c>
      <c r="H199" s="914"/>
      <c r="I199" s="914"/>
      <c r="J199" s="915"/>
      <c r="K199" s="915"/>
    </row>
    <row r="200" spans="2:11">
      <c r="B200" s="139"/>
      <c r="C200" s="948" t="s">
        <v>859</v>
      </c>
      <c r="D200" s="945" t="s">
        <v>1563</v>
      </c>
      <c r="E200" s="947">
        <v>11407</v>
      </c>
      <c r="F200" s="947">
        <v>11511</v>
      </c>
      <c r="H200" s="914"/>
      <c r="I200" s="914"/>
      <c r="J200" s="915"/>
      <c r="K200" s="915"/>
    </row>
    <row r="201" spans="2:11">
      <c r="B201" s="139"/>
      <c r="C201" s="948" t="s">
        <v>860</v>
      </c>
      <c r="D201" s="945" t="s">
        <v>1564</v>
      </c>
      <c r="E201" s="947">
        <v>13180</v>
      </c>
      <c r="F201" s="947">
        <v>13853</v>
      </c>
      <c r="H201" s="914"/>
      <c r="I201" s="914"/>
      <c r="J201" s="915"/>
      <c r="K201" s="915"/>
    </row>
    <row r="202" spans="2:11">
      <c r="B202" s="139"/>
      <c r="C202" s="948" t="s">
        <v>861</v>
      </c>
      <c r="D202" s="945" t="s">
        <v>1565</v>
      </c>
      <c r="E202" s="947">
        <v>15126</v>
      </c>
      <c r="F202" s="947">
        <v>15203</v>
      </c>
      <c r="H202" s="914"/>
      <c r="I202" s="914"/>
      <c r="J202" s="915"/>
      <c r="K202" s="915"/>
    </row>
    <row r="203" spans="2:11">
      <c r="B203" s="139"/>
      <c r="C203" s="948" t="s">
        <v>862</v>
      </c>
      <c r="D203" s="945" t="s">
        <v>1566</v>
      </c>
      <c r="E203" s="947">
        <v>17594</v>
      </c>
      <c r="F203" s="947">
        <v>20413</v>
      </c>
      <c r="H203" s="914"/>
      <c r="I203" s="914"/>
      <c r="J203" s="915"/>
      <c r="K203" s="915"/>
    </row>
    <row r="204" spans="2:11">
      <c r="B204" s="139"/>
      <c r="C204" s="948" t="s">
        <v>863</v>
      </c>
      <c r="D204" s="945" t="s">
        <v>1567</v>
      </c>
      <c r="E204" s="947">
        <v>13045</v>
      </c>
      <c r="F204" s="947">
        <v>13044</v>
      </c>
      <c r="H204" s="914"/>
      <c r="I204" s="914"/>
      <c r="J204" s="915"/>
      <c r="K204" s="915"/>
    </row>
    <row r="205" spans="2:11">
      <c r="B205" s="139"/>
      <c r="C205" s="948" t="s">
        <v>864</v>
      </c>
      <c r="D205" s="945" t="s">
        <v>1568</v>
      </c>
      <c r="E205" s="947">
        <v>11208</v>
      </c>
      <c r="F205" s="947">
        <v>11770</v>
      </c>
      <c r="H205" s="914"/>
      <c r="I205" s="914"/>
      <c r="J205" s="915"/>
      <c r="K205" s="915"/>
    </row>
    <row r="206" spans="2:11">
      <c r="B206" s="139"/>
      <c r="C206" s="948" t="s">
        <v>865</v>
      </c>
      <c r="D206" s="945" t="s">
        <v>1569</v>
      </c>
      <c r="E206" s="947">
        <v>15481</v>
      </c>
      <c r="F206" s="947">
        <v>15911</v>
      </c>
      <c r="H206" s="914"/>
      <c r="I206" s="914"/>
      <c r="J206" s="915"/>
      <c r="K206" s="915"/>
    </row>
    <row r="207" spans="2:11">
      <c r="B207" s="139"/>
      <c r="C207" s="948" t="s">
        <v>866</v>
      </c>
      <c r="D207" s="945" t="s">
        <v>1570</v>
      </c>
      <c r="E207" s="947">
        <v>15685</v>
      </c>
      <c r="F207" s="947">
        <v>16430</v>
      </c>
      <c r="H207" s="914"/>
      <c r="I207" s="914"/>
      <c r="J207" s="915"/>
      <c r="K207" s="915"/>
    </row>
    <row r="208" spans="2:11">
      <c r="B208" s="139"/>
      <c r="C208" s="948" t="s">
        <v>867</v>
      </c>
      <c r="D208" s="945" t="s">
        <v>1571</v>
      </c>
      <c r="E208" s="947">
        <v>12903</v>
      </c>
      <c r="F208" s="947">
        <v>12813</v>
      </c>
      <c r="H208" s="914"/>
      <c r="I208" s="914"/>
      <c r="J208" s="915"/>
      <c r="K208" s="915"/>
    </row>
    <row r="209" spans="2:11">
      <c r="B209" s="139"/>
      <c r="C209" s="948" t="s">
        <v>868</v>
      </c>
      <c r="D209" s="945" t="s">
        <v>1572</v>
      </c>
      <c r="E209" s="947">
        <v>14046</v>
      </c>
      <c r="F209" s="947">
        <v>14445</v>
      </c>
      <c r="H209" s="914"/>
      <c r="I209" s="914"/>
      <c r="J209" s="915"/>
      <c r="K209" s="915"/>
    </row>
    <row r="210" spans="2:11">
      <c r="B210" s="139"/>
      <c r="C210" s="948" t="s">
        <v>869</v>
      </c>
      <c r="D210" s="945" t="s">
        <v>1573</v>
      </c>
      <c r="E210" s="947">
        <v>17921</v>
      </c>
      <c r="F210" s="947">
        <v>18373</v>
      </c>
      <c r="H210" s="914"/>
      <c r="I210" s="914"/>
      <c r="J210" s="915"/>
      <c r="K210" s="915"/>
    </row>
    <row r="211" spans="2:11">
      <c r="B211" s="139"/>
      <c r="C211" s="948" t="s">
        <v>870</v>
      </c>
      <c r="D211" s="945" t="s">
        <v>1574</v>
      </c>
      <c r="E211" s="947">
        <v>11698</v>
      </c>
      <c r="F211" s="947">
        <v>12419</v>
      </c>
      <c r="H211" s="914"/>
      <c r="I211" s="914"/>
      <c r="J211" s="915"/>
      <c r="K211" s="915"/>
    </row>
    <row r="212" spans="2:11">
      <c r="B212" s="139"/>
      <c r="C212" s="948" t="s">
        <v>871</v>
      </c>
      <c r="D212" s="945" t="s">
        <v>1575</v>
      </c>
      <c r="E212" s="947">
        <v>14796</v>
      </c>
      <c r="F212" s="947">
        <v>14937</v>
      </c>
      <c r="H212" s="914"/>
      <c r="I212" s="914"/>
      <c r="J212" s="915"/>
      <c r="K212" s="915"/>
    </row>
    <row r="213" spans="2:11">
      <c r="B213" s="139"/>
      <c r="C213" s="948" t="s">
        <v>872</v>
      </c>
      <c r="D213" s="945" t="s">
        <v>1576</v>
      </c>
      <c r="E213" s="947">
        <v>10150</v>
      </c>
      <c r="F213" s="947">
        <v>10570</v>
      </c>
      <c r="H213" s="914"/>
      <c r="I213" s="914"/>
      <c r="J213" s="915"/>
      <c r="K213" s="915"/>
    </row>
    <row r="214" spans="2:11">
      <c r="B214" s="139"/>
      <c r="C214" s="948" t="s">
        <v>873</v>
      </c>
      <c r="D214" s="945" t="s">
        <v>1577</v>
      </c>
      <c r="E214" s="947">
        <v>13336</v>
      </c>
      <c r="F214" s="947">
        <v>14140</v>
      </c>
      <c r="H214" s="914"/>
      <c r="I214" s="914"/>
      <c r="J214" s="915"/>
      <c r="K214" s="915"/>
    </row>
    <row r="215" spans="2:11">
      <c r="B215" s="139"/>
      <c r="C215" s="948" t="s">
        <v>874</v>
      </c>
      <c r="D215" s="945" t="s">
        <v>1578</v>
      </c>
      <c r="E215" s="947">
        <v>11157</v>
      </c>
      <c r="F215" s="947">
        <v>11622</v>
      </c>
      <c r="H215" s="914"/>
      <c r="I215" s="914"/>
      <c r="J215" s="915"/>
      <c r="K215" s="915"/>
    </row>
    <row r="216" spans="2:11">
      <c r="B216" s="139"/>
      <c r="C216" s="948" t="s">
        <v>875</v>
      </c>
      <c r="D216" s="945" t="s">
        <v>1579</v>
      </c>
      <c r="E216" s="947">
        <v>11679</v>
      </c>
      <c r="F216" s="947">
        <v>12532</v>
      </c>
      <c r="H216" s="914"/>
      <c r="I216" s="914"/>
      <c r="J216" s="915"/>
      <c r="K216" s="915"/>
    </row>
    <row r="217" spans="2:11">
      <c r="B217" s="139"/>
      <c r="C217" s="948" t="s">
        <v>876</v>
      </c>
      <c r="D217" s="945" t="s">
        <v>1580</v>
      </c>
      <c r="E217" s="947">
        <v>19064</v>
      </c>
      <c r="F217" s="947">
        <v>19546</v>
      </c>
      <c r="H217" s="914"/>
      <c r="I217" s="914"/>
      <c r="J217" s="915"/>
      <c r="K217" s="915"/>
    </row>
    <row r="218" spans="2:11">
      <c r="B218" s="139"/>
      <c r="C218" s="948" t="s">
        <v>877</v>
      </c>
      <c r="D218" s="945" t="s">
        <v>1581</v>
      </c>
      <c r="E218" s="947">
        <v>22065</v>
      </c>
      <c r="F218" s="947">
        <v>21560</v>
      </c>
      <c r="H218" s="914"/>
      <c r="I218" s="914"/>
      <c r="J218" s="915"/>
      <c r="K218" s="915"/>
    </row>
    <row r="219" spans="2:11">
      <c r="B219" s="139"/>
      <c r="C219" s="948" t="s">
        <v>878</v>
      </c>
      <c r="D219" s="945" t="s">
        <v>1582</v>
      </c>
      <c r="E219" s="947">
        <v>13011</v>
      </c>
      <c r="F219" s="947">
        <v>13114</v>
      </c>
      <c r="H219" s="914"/>
      <c r="I219" s="914"/>
      <c r="J219" s="915"/>
      <c r="K219" s="915"/>
    </row>
    <row r="220" spans="2:11">
      <c r="B220" s="139"/>
      <c r="C220" s="948" t="s">
        <v>879</v>
      </c>
      <c r="D220" s="945" t="s">
        <v>1583</v>
      </c>
      <c r="E220" s="947">
        <v>10462</v>
      </c>
      <c r="F220" s="947">
        <v>11049</v>
      </c>
      <c r="H220" s="914"/>
      <c r="I220" s="914"/>
      <c r="J220" s="915"/>
      <c r="K220" s="915"/>
    </row>
    <row r="221" spans="2:11">
      <c r="B221" s="139"/>
      <c r="C221" s="948" t="s">
        <v>880</v>
      </c>
      <c r="D221" s="945" t="s">
        <v>1584</v>
      </c>
      <c r="E221" s="947">
        <v>13725</v>
      </c>
      <c r="F221" s="947">
        <v>14396</v>
      </c>
      <c r="H221" s="914"/>
      <c r="I221" s="914"/>
      <c r="J221" s="915"/>
      <c r="K221" s="915"/>
    </row>
    <row r="222" spans="2:11">
      <c r="B222" s="139"/>
      <c r="C222" s="948" t="s">
        <v>881</v>
      </c>
      <c r="D222" s="945" t="s">
        <v>1585</v>
      </c>
      <c r="E222" s="947">
        <v>13914</v>
      </c>
      <c r="F222" s="947">
        <v>14377</v>
      </c>
      <c r="H222" s="914"/>
      <c r="I222" s="914"/>
      <c r="J222" s="915"/>
      <c r="K222" s="915"/>
    </row>
    <row r="223" spans="2:11">
      <c r="B223" s="139"/>
      <c r="C223" s="948" t="s">
        <v>882</v>
      </c>
      <c r="D223" s="945" t="s">
        <v>1586</v>
      </c>
      <c r="E223" s="947">
        <v>15910</v>
      </c>
      <c r="F223" s="947">
        <v>16112</v>
      </c>
      <c r="H223" s="914"/>
      <c r="I223" s="914"/>
      <c r="J223" s="915"/>
      <c r="K223" s="915"/>
    </row>
    <row r="224" spans="2:11">
      <c r="B224" s="139"/>
      <c r="C224" s="948" t="s">
        <v>884</v>
      </c>
      <c r="D224" s="945" t="s">
        <v>1587</v>
      </c>
      <c r="E224" s="947">
        <v>16242</v>
      </c>
      <c r="F224" s="947">
        <v>16435</v>
      </c>
      <c r="H224" s="914"/>
      <c r="I224" s="914"/>
      <c r="J224" s="915"/>
      <c r="K224" s="915"/>
    </row>
    <row r="225" spans="2:11">
      <c r="B225" s="139"/>
      <c r="C225" s="948" t="s">
        <v>885</v>
      </c>
      <c r="D225" s="945" t="s">
        <v>1588</v>
      </c>
      <c r="E225" s="947">
        <v>14333</v>
      </c>
      <c r="F225" s="947">
        <v>14977</v>
      </c>
      <c r="H225" s="914"/>
      <c r="I225" s="914"/>
      <c r="J225" s="915"/>
      <c r="K225" s="915"/>
    </row>
    <row r="226" spans="2:11">
      <c r="B226" s="139"/>
      <c r="C226" s="948" t="s">
        <v>886</v>
      </c>
      <c r="D226" s="945" t="s">
        <v>1589</v>
      </c>
      <c r="E226" s="947">
        <v>15860</v>
      </c>
      <c r="F226" s="947">
        <v>16079</v>
      </c>
      <c r="H226" s="914"/>
      <c r="I226" s="914"/>
      <c r="J226" s="915"/>
      <c r="K226" s="915"/>
    </row>
    <row r="227" spans="2:11">
      <c r="B227" s="139"/>
      <c r="C227" s="948" t="s">
        <v>887</v>
      </c>
      <c r="D227" s="945" t="s">
        <v>1590</v>
      </c>
      <c r="E227" s="947">
        <v>21520</v>
      </c>
      <c r="F227" s="947">
        <v>22370</v>
      </c>
      <c r="H227" s="914"/>
      <c r="I227" s="914"/>
      <c r="J227" s="915"/>
      <c r="K227" s="915"/>
    </row>
    <row r="228" spans="2:11">
      <c r="B228" s="139"/>
      <c r="C228" s="948" t="s">
        <v>888</v>
      </c>
      <c r="D228" s="945" t="s">
        <v>1591</v>
      </c>
      <c r="E228" s="947">
        <v>13380</v>
      </c>
      <c r="F228" s="947">
        <v>13624</v>
      </c>
      <c r="H228" s="914"/>
      <c r="I228" s="914"/>
      <c r="J228" s="915"/>
      <c r="K228" s="915"/>
    </row>
    <row r="229" spans="2:11">
      <c r="B229" s="139"/>
      <c r="C229" s="948" t="s">
        <v>890</v>
      </c>
      <c r="D229" s="945" t="s">
        <v>1592</v>
      </c>
      <c r="E229" s="947">
        <v>11409</v>
      </c>
      <c r="F229" s="947">
        <v>11938</v>
      </c>
      <c r="H229" s="914"/>
      <c r="I229" s="914"/>
      <c r="J229" s="915"/>
      <c r="K229" s="915"/>
    </row>
    <row r="230" spans="2:11">
      <c r="B230" s="139"/>
      <c r="C230" s="948" t="s">
        <v>892</v>
      </c>
      <c r="D230" s="945" t="s">
        <v>1593</v>
      </c>
      <c r="E230" s="947">
        <v>17870</v>
      </c>
      <c r="F230" s="947">
        <v>18765</v>
      </c>
      <c r="H230" s="914"/>
      <c r="I230" s="914"/>
      <c r="J230" s="915"/>
      <c r="K230" s="915"/>
    </row>
    <row r="231" spans="2:11">
      <c r="B231" s="139"/>
      <c r="C231" s="948" t="s">
        <v>893</v>
      </c>
      <c r="D231" s="945" t="s">
        <v>1594</v>
      </c>
      <c r="E231" s="947">
        <v>12164</v>
      </c>
      <c r="F231" s="947">
        <v>12315</v>
      </c>
      <c r="H231" s="914"/>
      <c r="I231" s="914"/>
      <c r="J231" s="915"/>
      <c r="K231" s="915"/>
    </row>
    <row r="232" spans="2:11">
      <c r="B232" s="139"/>
      <c r="C232" s="948" t="s">
        <v>894</v>
      </c>
      <c r="D232" s="945" t="s">
        <v>1595</v>
      </c>
      <c r="E232" s="947">
        <v>12664</v>
      </c>
      <c r="F232" s="947">
        <v>13209</v>
      </c>
      <c r="H232" s="914"/>
      <c r="I232" s="914"/>
      <c r="J232" s="915"/>
      <c r="K232" s="915"/>
    </row>
    <row r="233" spans="2:11">
      <c r="B233" s="139"/>
      <c r="C233" s="948" t="s">
        <v>895</v>
      </c>
      <c r="D233" s="945" t="s">
        <v>1596</v>
      </c>
      <c r="E233" s="947">
        <v>11940</v>
      </c>
      <c r="F233" s="947">
        <v>12261</v>
      </c>
      <c r="H233" s="914"/>
      <c r="I233" s="914"/>
      <c r="J233" s="915"/>
      <c r="K233" s="915"/>
    </row>
    <row r="234" spans="2:11">
      <c r="B234" s="139"/>
      <c r="C234" s="948" t="s">
        <v>896</v>
      </c>
      <c r="D234" s="945" t="s">
        <v>1597</v>
      </c>
      <c r="E234" s="947">
        <v>11769</v>
      </c>
      <c r="F234" s="947">
        <v>12228</v>
      </c>
      <c r="H234" s="914"/>
      <c r="I234" s="914"/>
      <c r="J234" s="915"/>
      <c r="K234" s="915"/>
    </row>
    <row r="235" spans="2:11">
      <c r="B235" s="139"/>
      <c r="C235" s="948" t="s">
        <v>897</v>
      </c>
      <c r="D235" s="945" t="s">
        <v>1598</v>
      </c>
      <c r="E235" s="947">
        <v>24027</v>
      </c>
      <c r="F235" s="947">
        <v>24731</v>
      </c>
      <c r="H235" s="914"/>
      <c r="I235" s="914"/>
      <c r="J235" s="915"/>
      <c r="K235" s="915"/>
    </row>
    <row r="236" spans="2:11">
      <c r="B236" s="139"/>
      <c r="C236" s="948" t="s">
        <v>898</v>
      </c>
      <c r="D236" s="945" t="s">
        <v>1599</v>
      </c>
      <c r="E236" s="947">
        <v>12813</v>
      </c>
      <c r="F236" s="947">
        <v>13465</v>
      </c>
      <c r="H236" s="914"/>
      <c r="I236" s="914"/>
      <c r="J236" s="915"/>
      <c r="K236" s="915"/>
    </row>
    <row r="237" spans="2:11">
      <c r="B237" s="139"/>
      <c r="C237" s="948" t="s">
        <v>899</v>
      </c>
      <c r="D237" s="945" t="s">
        <v>1600</v>
      </c>
      <c r="E237" s="947">
        <v>15554</v>
      </c>
      <c r="F237" s="947">
        <v>16562</v>
      </c>
      <c r="H237" s="914"/>
      <c r="I237" s="914"/>
      <c r="J237" s="915"/>
      <c r="K237" s="915"/>
    </row>
    <row r="238" spans="2:11">
      <c r="B238" s="139"/>
      <c r="C238" s="948" t="s">
        <v>900</v>
      </c>
      <c r="D238" s="945" t="s">
        <v>1601</v>
      </c>
      <c r="E238" s="947">
        <v>23424</v>
      </c>
      <c r="F238" s="947">
        <v>23818</v>
      </c>
      <c r="H238" s="914"/>
      <c r="I238" s="914"/>
      <c r="J238" s="915"/>
      <c r="K238" s="915"/>
    </row>
    <row r="239" spans="2:11">
      <c r="B239" s="139"/>
      <c r="C239" s="948" t="s">
        <v>901</v>
      </c>
      <c r="D239" s="945" t="s">
        <v>1602</v>
      </c>
      <c r="E239" s="947">
        <v>12719</v>
      </c>
      <c r="F239" s="947">
        <v>13254</v>
      </c>
      <c r="H239" s="914"/>
      <c r="I239" s="914"/>
      <c r="J239" s="915"/>
      <c r="K239" s="915"/>
    </row>
    <row r="240" spans="2:11">
      <c r="B240" s="139"/>
      <c r="C240" s="948" t="s">
        <v>902</v>
      </c>
      <c r="D240" s="945" t="s">
        <v>1603</v>
      </c>
      <c r="E240" s="947">
        <v>21466</v>
      </c>
      <c r="F240" s="947">
        <v>21953</v>
      </c>
      <c r="H240" s="914"/>
      <c r="I240" s="914"/>
      <c r="J240" s="915"/>
      <c r="K240" s="915"/>
    </row>
    <row r="241" spans="2:11">
      <c r="B241" s="139"/>
      <c r="C241" s="948" t="s">
        <v>903</v>
      </c>
      <c r="D241" s="945" t="s">
        <v>1604</v>
      </c>
      <c r="E241" s="947">
        <v>15274</v>
      </c>
      <c r="F241" s="947">
        <v>15934</v>
      </c>
      <c r="H241" s="914"/>
      <c r="I241" s="914"/>
      <c r="J241" s="915"/>
      <c r="K241" s="915"/>
    </row>
    <row r="242" spans="2:11">
      <c r="B242" s="139"/>
      <c r="C242" s="948" t="s">
        <v>904</v>
      </c>
      <c r="D242" s="945" t="s">
        <v>1605</v>
      </c>
      <c r="E242" s="947">
        <v>13928</v>
      </c>
      <c r="F242" s="947">
        <v>14379</v>
      </c>
      <c r="H242" s="914"/>
      <c r="I242" s="914"/>
      <c r="J242" s="915"/>
      <c r="K242" s="915"/>
    </row>
    <row r="243" spans="2:11">
      <c r="B243" s="139"/>
      <c r="C243" s="948" t="s">
        <v>905</v>
      </c>
      <c r="D243" s="945" t="s">
        <v>1606</v>
      </c>
      <c r="E243" s="947">
        <v>19851</v>
      </c>
      <c r="F243" s="947">
        <v>19885</v>
      </c>
      <c r="H243" s="914"/>
      <c r="I243" s="914"/>
      <c r="J243" s="915"/>
      <c r="K243" s="915"/>
    </row>
    <row r="244" spans="2:11">
      <c r="B244" s="139"/>
      <c r="C244" s="948" t="s">
        <v>906</v>
      </c>
      <c r="D244" s="945" t="s">
        <v>1607</v>
      </c>
      <c r="E244" s="947">
        <v>13104</v>
      </c>
      <c r="F244" s="947">
        <v>13021</v>
      </c>
      <c r="H244" s="914"/>
      <c r="I244" s="914"/>
      <c r="J244" s="915"/>
      <c r="K244" s="915"/>
    </row>
    <row r="245" spans="2:11">
      <c r="B245" s="139"/>
      <c r="C245" s="948" t="s">
        <v>907</v>
      </c>
      <c r="D245" s="945" t="s">
        <v>1608</v>
      </c>
      <c r="E245" s="947">
        <v>13858</v>
      </c>
      <c r="F245" s="947">
        <v>14204</v>
      </c>
      <c r="H245" s="914"/>
      <c r="I245" s="914"/>
      <c r="J245" s="915"/>
      <c r="K245" s="915"/>
    </row>
    <row r="246" spans="2:11">
      <c r="B246" s="139"/>
      <c r="C246" s="948" t="s">
        <v>908</v>
      </c>
      <c r="D246" s="945" t="s">
        <v>1609</v>
      </c>
      <c r="E246" s="947">
        <v>15824</v>
      </c>
      <c r="F246" s="947">
        <v>16254</v>
      </c>
      <c r="H246" s="914"/>
      <c r="I246" s="914"/>
      <c r="J246" s="915"/>
      <c r="K246" s="915"/>
    </row>
    <row r="247" spans="2:11">
      <c r="B247" s="139"/>
      <c r="C247" s="948" t="s">
        <v>909</v>
      </c>
      <c r="D247" s="945" t="s">
        <v>1610</v>
      </c>
      <c r="E247" s="947">
        <v>15811</v>
      </c>
      <c r="F247" s="947">
        <v>15174</v>
      </c>
      <c r="H247" s="914"/>
      <c r="I247" s="914"/>
      <c r="J247" s="915"/>
      <c r="K247" s="915"/>
    </row>
    <row r="248" spans="2:11">
      <c r="B248" s="139"/>
      <c r="C248" s="948" t="s">
        <v>910</v>
      </c>
      <c r="D248" s="945" t="s">
        <v>1611</v>
      </c>
      <c r="E248" s="947">
        <v>16418</v>
      </c>
      <c r="F248" s="947">
        <v>16842</v>
      </c>
      <c r="H248" s="914"/>
      <c r="I248" s="914"/>
      <c r="J248" s="915"/>
      <c r="K248" s="915"/>
    </row>
    <row r="249" spans="2:11">
      <c r="B249" s="139"/>
      <c r="C249" s="948" t="s">
        <v>911</v>
      </c>
      <c r="D249" s="945" t="s">
        <v>1612</v>
      </c>
      <c r="E249" s="947">
        <v>12324</v>
      </c>
      <c r="F249" s="947">
        <v>13129</v>
      </c>
      <c r="H249" s="914"/>
      <c r="I249" s="914"/>
      <c r="J249" s="915"/>
      <c r="K249" s="915"/>
    </row>
    <row r="250" spans="2:11">
      <c r="B250" s="139"/>
      <c r="C250" s="948" t="s">
        <v>912</v>
      </c>
      <c r="D250" s="945" t="s">
        <v>1613</v>
      </c>
      <c r="E250" s="947">
        <v>15230</v>
      </c>
      <c r="F250" s="947">
        <v>15748</v>
      </c>
      <c r="H250" s="914"/>
      <c r="I250" s="914"/>
      <c r="J250" s="915"/>
      <c r="K250" s="915"/>
    </row>
    <row r="251" spans="2:11">
      <c r="B251" s="139"/>
      <c r="C251" s="948" t="s">
        <v>913</v>
      </c>
      <c r="D251" s="945" t="s">
        <v>1614</v>
      </c>
      <c r="E251" s="947">
        <v>15749</v>
      </c>
      <c r="F251" s="947">
        <v>16699</v>
      </c>
      <c r="H251" s="914"/>
      <c r="I251" s="914"/>
      <c r="J251" s="915"/>
      <c r="K251" s="915"/>
    </row>
    <row r="252" spans="2:11">
      <c r="B252" s="139"/>
      <c r="C252" s="948" t="s">
        <v>914</v>
      </c>
      <c r="D252" s="945" t="s">
        <v>1615</v>
      </c>
      <c r="E252" s="947">
        <v>17510</v>
      </c>
      <c r="F252" s="947">
        <v>18009</v>
      </c>
      <c r="H252" s="914"/>
      <c r="I252" s="914"/>
      <c r="J252" s="915"/>
      <c r="K252" s="915"/>
    </row>
    <row r="253" spans="2:11">
      <c r="B253" s="139"/>
      <c r="C253" s="948" t="s">
        <v>915</v>
      </c>
      <c r="D253" s="945" t="s">
        <v>1616</v>
      </c>
      <c r="E253" s="947">
        <v>18424</v>
      </c>
      <c r="F253" s="947">
        <v>19108</v>
      </c>
      <c r="H253" s="914"/>
      <c r="I253" s="914"/>
      <c r="J253" s="915"/>
      <c r="K253" s="915"/>
    </row>
    <row r="254" spans="2:11">
      <c r="B254" s="139"/>
      <c r="C254" s="948" t="s">
        <v>916</v>
      </c>
      <c r="D254" s="945" t="s">
        <v>1617</v>
      </c>
      <c r="E254" s="947">
        <v>14039</v>
      </c>
      <c r="F254" s="947">
        <v>14273</v>
      </c>
      <c r="H254" s="914"/>
      <c r="I254" s="914"/>
      <c r="J254" s="915"/>
      <c r="K254" s="915"/>
    </row>
    <row r="255" spans="2:11">
      <c r="B255" s="139"/>
      <c r="C255" s="948" t="s">
        <v>917</v>
      </c>
      <c r="D255" s="945" t="s">
        <v>1618</v>
      </c>
      <c r="E255" s="947">
        <v>11420</v>
      </c>
      <c r="F255" s="947">
        <v>11827</v>
      </c>
      <c r="H255" s="914"/>
      <c r="I255" s="914"/>
      <c r="J255" s="915"/>
      <c r="K255" s="915"/>
    </row>
    <row r="256" spans="2:11">
      <c r="B256" s="139"/>
      <c r="C256" s="948" t="s">
        <v>918</v>
      </c>
      <c r="D256" s="945" t="s">
        <v>1619</v>
      </c>
      <c r="E256" s="947">
        <v>15708</v>
      </c>
      <c r="F256" s="947">
        <v>16453</v>
      </c>
      <c r="H256" s="914"/>
      <c r="I256" s="914"/>
      <c r="J256" s="915"/>
      <c r="K256" s="915"/>
    </row>
    <row r="257" spans="2:11">
      <c r="B257" s="139"/>
      <c r="C257" s="948" t="s">
        <v>919</v>
      </c>
      <c r="D257" s="945" t="s">
        <v>1620</v>
      </c>
      <c r="E257" s="947">
        <v>9923</v>
      </c>
      <c r="F257" s="947">
        <v>10181</v>
      </c>
      <c r="H257" s="914"/>
      <c r="I257" s="914"/>
      <c r="J257" s="915"/>
      <c r="K257" s="915"/>
    </row>
    <row r="258" spans="2:11">
      <c r="B258" s="139"/>
      <c r="C258" s="948" t="s">
        <v>920</v>
      </c>
      <c r="D258" s="945" t="s">
        <v>1621</v>
      </c>
      <c r="E258" s="947">
        <v>25595</v>
      </c>
      <c r="F258" s="947">
        <v>26207</v>
      </c>
      <c r="H258" s="914"/>
      <c r="I258" s="914"/>
      <c r="J258" s="915"/>
      <c r="K258" s="915"/>
    </row>
    <row r="259" spans="2:11">
      <c r="B259" s="139"/>
      <c r="C259" s="948" t="s">
        <v>921</v>
      </c>
      <c r="D259" s="945" t="s">
        <v>1622</v>
      </c>
      <c r="E259" s="947">
        <v>15961</v>
      </c>
      <c r="F259" s="947">
        <v>16773</v>
      </c>
      <c r="H259" s="914"/>
      <c r="I259" s="914"/>
      <c r="J259" s="915"/>
      <c r="K259" s="915"/>
    </row>
    <row r="260" spans="2:11">
      <c r="B260" s="139"/>
      <c r="C260" s="948" t="s">
        <v>922</v>
      </c>
      <c r="D260" s="945" t="s">
        <v>1623</v>
      </c>
      <c r="E260" s="947">
        <v>11798</v>
      </c>
      <c r="F260" s="947">
        <v>11472</v>
      </c>
      <c r="H260" s="914"/>
      <c r="I260" s="914"/>
      <c r="J260" s="915"/>
      <c r="K260" s="915"/>
    </row>
    <row r="261" spans="2:11">
      <c r="B261" s="139"/>
      <c r="C261" s="948" t="s">
        <v>923</v>
      </c>
      <c r="D261" s="945" t="s">
        <v>1624</v>
      </c>
      <c r="E261" s="947">
        <v>23686</v>
      </c>
      <c r="F261" s="947">
        <v>24295</v>
      </c>
      <c r="H261" s="914"/>
      <c r="I261" s="914"/>
      <c r="J261" s="915"/>
      <c r="K261" s="915"/>
    </row>
    <row r="262" spans="2:11">
      <c r="B262" s="139"/>
      <c r="C262" s="948" t="s">
        <v>924</v>
      </c>
      <c r="D262" s="945" t="s">
        <v>1625</v>
      </c>
      <c r="E262" s="947">
        <v>19302</v>
      </c>
      <c r="F262" s="947">
        <v>19980</v>
      </c>
      <c r="H262" s="914"/>
      <c r="I262" s="914"/>
      <c r="J262" s="915"/>
      <c r="K262" s="915"/>
    </row>
    <row r="263" spans="2:11">
      <c r="B263" s="139"/>
      <c r="C263" s="948" t="s">
        <v>926</v>
      </c>
      <c r="D263" s="945" t="s">
        <v>1626</v>
      </c>
      <c r="E263" s="947">
        <v>24505</v>
      </c>
      <c r="F263" s="947">
        <v>26196</v>
      </c>
      <c r="H263" s="914"/>
      <c r="I263" s="914"/>
      <c r="J263" s="915"/>
      <c r="K263" s="915"/>
    </row>
    <row r="264" spans="2:11">
      <c r="B264" s="139"/>
      <c r="C264" s="948" t="s">
        <v>927</v>
      </c>
      <c r="D264" s="945" t="s">
        <v>1627</v>
      </c>
      <c r="E264" s="947">
        <v>19996</v>
      </c>
      <c r="F264" s="947">
        <v>20600</v>
      </c>
      <c r="H264" s="914"/>
      <c r="I264" s="914"/>
      <c r="J264" s="915"/>
      <c r="K264" s="915"/>
    </row>
    <row r="265" spans="2:11">
      <c r="B265" s="139"/>
      <c r="C265" s="948" t="s">
        <v>928</v>
      </c>
      <c r="D265" s="945" t="s">
        <v>1628</v>
      </c>
      <c r="E265" s="947">
        <v>11537</v>
      </c>
      <c r="F265" s="947">
        <v>12278</v>
      </c>
      <c r="H265" s="914"/>
      <c r="I265" s="914"/>
      <c r="J265" s="915"/>
      <c r="K265" s="915"/>
    </row>
    <row r="266" spans="2:11">
      <c r="B266" s="139"/>
      <c r="C266" s="948" t="s">
        <v>929</v>
      </c>
      <c r="D266" s="945" t="s">
        <v>1629</v>
      </c>
      <c r="E266" s="947">
        <v>15303</v>
      </c>
      <c r="F266" s="947">
        <v>15947</v>
      </c>
      <c r="H266" s="914"/>
      <c r="I266" s="914"/>
      <c r="J266" s="915"/>
      <c r="K266" s="915"/>
    </row>
    <row r="267" spans="2:11">
      <c r="B267" s="139"/>
      <c r="C267" s="948" t="s">
        <v>930</v>
      </c>
      <c r="D267" s="945" t="s">
        <v>1630</v>
      </c>
      <c r="E267" s="947">
        <v>18373</v>
      </c>
      <c r="F267" s="947">
        <v>18702</v>
      </c>
      <c r="H267" s="914"/>
      <c r="I267" s="914"/>
      <c r="J267" s="915"/>
      <c r="K267" s="915"/>
    </row>
    <row r="268" spans="2:11">
      <c r="B268" s="139"/>
      <c r="C268" s="948" t="s">
        <v>931</v>
      </c>
      <c r="D268" s="945" t="s">
        <v>1631</v>
      </c>
      <c r="E268" s="947">
        <v>11482</v>
      </c>
      <c r="F268" s="947">
        <v>12184</v>
      </c>
      <c r="H268" s="914"/>
      <c r="I268" s="914"/>
      <c r="J268" s="915"/>
      <c r="K268" s="915"/>
    </row>
    <row r="269" spans="2:11">
      <c r="B269" s="139"/>
      <c r="C269" s="948" t="s">
        <v>932</v>
      </c>
      <c r="D269" s="945" t="s">
        <v>1632</v>
      </c>
      <c r="E269" s="947">
        <v>24389</v>
      </c>
      <c r="F269" s="947">
        <v>24550</v>
      </c>
      <c r="H269" s="914"/>
      <c r="I269" s="914"/>
      <c r="J269" s="915"/>
      <c r="K269" s="915"/>
    </row>
    <row r="270" spans="2:11">
      <c r="B270" s="139"/>
      <c r="C270" s="948" t="s">
        <v>933</v>
      </c>
      <c r="D270" s="945" t="s">
        <v>1633</v>
      </c>
      <c r="E270" s="947">
        <v>17554</v>
      </c>
      <c r="F270" s="947">
        <v>18470</v>
      </c>
      <c r="H270" s="914"/>
      <c r="I270" s="914"/>
      <c r="J270" s="915"/>
      <c r="K270" s="915"/>
    </row>
    <row r="271" spans="2:11">
      <c r="B271" s="139"/>
      <c r="C271" s="948" t="s">
        <v>934</v>
      </c>
      <c r="D271" s="945" t="s">
        <v>1634</v>
      </c>
      <c r="E271" s="947">
        <v>14955</v>
      </c>
      <c r="F271" s="947">
        <v>15350</v>
      </c>
      <c r="H271" s="914"/>
      <c r="I271" s="914"/>
      <c r="J271" s="915"/>
      <c r="K271" s="915"/>
    </row>
    <row r="272" spans="2:11">
      <c r="B272" s="139"/>
      <c r="C272" s="948" t="s">
        <v>935</v>
      </c>
      <c r="D272" s="945" t="s">
        <v>1635</v>
      </c>
      <c r="E272" s="947">
        <v>17287</v>
      </c>
      <c r="F272" s="947">
        <v>18587</v>
      </c>
      <c r="H272" s="914"/>
      <c r="I272" s="914"/>
      <c r="J272" s="915"/>
      <c r="K272" s="915"/>
    </row>
    <row r="273" spans="2:11">
      <c r="B273" s="139"/>
      <c r="C273" s="948" t="s">
        <v>936</v>
      </c>
      <c r="D273" s="945" t="s">
        <v>1636</v>
      </c>
      <c r="E273" s="947">
        <v>11931</v>
      </c>
      <c r="F273" s="947">
        <v>12298</v>
      </c>
      <c r="H273" s="914"/>
      <c r="I273" s="914"/>
      <c r="J273" s="915"/>
      <c r="K273" s="915"/>
    </row>
    <row r="274" spans="2:11">
      <c r="B274" s="139"/>
      <c r="C274" s="948" t="s">
        <v>937</v>
      </c>
      <c r="D274" s="945" t="s">
        <v>1637</v>
      </c>
      <c r="E274" s="947">
        <v>12139</v>
      </c>
      <c r="F274" s="947">
        <v>12727</v>
      </c>
      <c r="H274" s="914"/>
      <c r="I274" s="914"/>
      <c r="J274" s="915"/>
      <c r="K274" s="915"/>
    </row>
    <row r="275" spans="2:11">
      <c r="B275" s="139"/>
      <c r="C275" s="948" t="s">
        <v>938</v>
      </c>
      <c r="D275" s="945" t="s">
        <v>1638</v>
      </c>
      <c r="E275" s="947">
        <v>12704</v>
      </c>
      <c r="F275" s="947">
        <v>12926</v>
      </c>
      <c r="H275" s="914"/>
      <c r="I275" s="914"/>
      <c r="J275" s="915"/>
      <c r="K275" s="915"/>
    </row>
    <row r="276" spans="2:11">
      <c r="B276" s="139"/>
      <c r="C276" s="948" t="s">
        <v>939</v>
      </c>
      <c r="D276" s="945" t="s">
        <v>1639</v>
      </c>
      <c r="E276" s="947">
        <v>12922</v>
      </c>
      <c r="F276" s="947">
        <v>13618</v>
      </c>
      <c r="H276" s="914"/>
      <c r="I276" s="914"/>
      <c r="J276" s="915"/>
      <c r="K276" s="915"/>
    </row>
    <row r="277" spans="2:11">
      <c r="B277" s="139"/>
      <c r="C277" s="948" t="s">
        <v>940</v>
      </c>
      <c r="D277" s="945" t="s">
        <v>1640</v>
      </c>
      <c r="E277" s="947">
        <v>11011</v>
      </c>
      <c r="F277" s="947">
        <v>11471</v>
      </c>
      <c r="H277" s="914"/>
      <c r="I277" s="914"/>
      <c r="J277" s="915"/>
      <c r="K277" s="915"/>
    </row>
    <row r="278" spans="2:11">
      <c r="B278" s="139"/>
      <c r="C278" s="948" t="s">
        <v>941</v>
      </c>
      <c r="D278" s="945" t="s">
        <v>1641</v>
      </c>
      <c r="E278" s="947">
        <v>13115</v>
      </c>
      <c r="F278" s="947">
        <v>13647</v>
      </c>
      <c r="H278" s="914"/>
      <c r="I278" s="914"/>
      <c r="J278" s="915"/>
      <c r="K278" s="915"/>
    </row>
    <row r="279" spans="2:11">
      <c r="B279" s="139"/>
      <c r="C279" s="948" t="s">
        <v>942</v>
      </c>
      <c r="D279" s="945" t="s">
        <v>1642</v>
      </c>
      <c r="E279" s="947">
        <v>13434</v>
      </c>
      <c r="F279" s="947">
        <v>13699</v>
      </c>
      <c r="H279" s="914"/>
      <c r="I279" s="914"/>
      <c r="J279" s="915"/>
      <c r="K279" s="915"/>
    </row>
    <row r="280" spans="2:11">
      <c r="B280" s="139"/>
      <c r="C280" s="948" t="s">
        <v>943</v>
      </c>
      <c r="D280" s="945" t="s">
        <v>1643</v>
      </c>
      <c r="E280" s="947">
        <v>11879</v>
      </c>
      <c r="F280" s="947">
        <v>12473</v>
      </c>
      <c r="H280" s="914"/>
      <c r="I280" s="914"/>
      <c r="J280" s="915"/>
      <c r="K280" s="915"/>
    </row>
    <row r="281" spans="2:11">
      <c r="B281" s="139"/>
      <c r="C281" s="948" t="s">
        <v>944</v>
      </c>
      <c r="D281" s="945" t="s">
        <v>1644</v>
      </c>
      <c r="E281" s="947">
        <v>12453</v>
      </c>
      <c r="F281" s="947">
        <v>13005</v>
      </c>
      <c r="H281" s="914"/>
      <c r="I281" s="914"/>
      <c r="J281" s="915"/>
      <c r="K281" s="915"/>
    </row>
    <row r="282" spans="2:11">
      <c r="B282" s="139"/>
      <c r="C282" s="948" t="s">
        <v>945</v>
      </c>
      <c r="D282" s="945" t="s">
        <v>1645</v>
      </c>
      <c r="E282" s="947">
        <v>14425</v>
      </c>
      <c r="F282" s="947">
        <v>14970</v>
      </c>
      <c r="H282" s="914"/>
      <c r="I282" s="914"/>
      <c r="J282" s="915"/>
      <c r="K282" s="915"/>
    </row>
    <row r="283" spans="2:11">
      <c r="B283" s="139"/>
      <c r="C283" s="948" t="s">
        <v>946</v>
      </c>
      <c r="D283" s="945" t="s">
        <v>1646</v>
      </c>
      <c r="E283" s="947">
        <v>10107</v>
      </c>
      <c r="F283" s="947">
        <v>9524</v>
      </c>
      <c r="H283" s="914"/>
      <c r="I283" s="914"/>
      <c r="J283" s="915"/>
      <c r="K283" s="915"/>
    </row>
    <row r="284" spans="2:11">
      <c r="B284" s="139"/>
      <c r="C284" s="948" t="s">
        <v>947</v>
      </c>
      <c r="D284" s="945" t="s">
        <v>1647</v>
      </c>
      <c r="E284" s="947">
        <v>13016</v>
      </c>
      <c r="F284" s="947">
        <v>13607</v>
      </c>
      <c r="H284" s="914"/>
      <c r="I284" s="914"/>
      <c r="J284" s="915"/>
      <c r="K284" s="915"/>
    </row>
    <row r="285" spans="2:11">
      <c r="B285" s="139"/>
      <c r="C285" s="948" t="s">
        <v>948</v>
      </c>
      <c r="D285" s="945" t="s">
        <v>1648</v>
      </c>
      <c r="E285" s="947">
        <v>15882</v>
      </c>
      <c r="F285" s="947">
        <v>16420</v>
      </c>
      <c r="H285" s="914"/>
      <c r="I285" s="914"/>
      <c r="J285" s="915"/>
      <c r="K285" s="915"/>
    </row>
    <row r="286" spans="2:11">
      <c r="B286" s="139"/>
      <c r="C286" s="948" t="s">
        <v>949</v>
      </c>
      <c r="D286" s="945" t="s">
        <v>1649</v>
      </c>
      <c r="E286" s="947">
        <v>10969</v>
      </c>
      <c r="F286" s="947">
        <v>11263</v>
      </c>
      <c r="H286" s="914"/>
      <c r="I286" s="914"/>
      <c r="J286" s="915"/>
      <c r="K286" s="915"/>
    </row>
    <row r="287" spans="2:11">
      <c r="B287" s="139"/>
      <c r="C287" s="948" t="s">
        <v>950</v>
      </c>
      <c r="D287" s="945" t="s">
        <v>1650</v>
      </c>
      <c r="E287" s="947">
        <v>17254</v>
      </c>
      <c r="F287" s="947">
        <v>17744</v>
      </c>
      <c r="H287" s="914"/>
      <c r="I287" s="914"/>
      <c r="J287" s="915"/>
      <c r="K287" s="915"/>
    </row>
    <row r="288" spans="2:11">
      <c r="B288" s="139"/>
      <c r="C288" s="948" t="s">
        <v>951</v>
      </c>
      <c r="D288" s="945" t="s">
        <v>1651</v>
      </c>
      <c r="E288" s="947">
        <v>19495</v>
      </c>
      <c r="F288" s="947">
        <v>20078</v>
      </c>
      <c r="H288" s="914"/>
      <c r="I288" s="914"/>
      <c r="J288" s="915"/>
      <c r="K288" s="915"/>
    </row>
    <row r="289" spans="2:11">
      <c r="B289" s="139"/>
      <c r="C289" s="948" t="s">
        <v>952</v>
      </c>
      <c r="D289" s="945" t="s">
        <v>1652</v>
      </c>
      <c r="E289" s="947">
        <v>14300</v>
      </c>
      <c r="F289" s="947">
        <v>14839</v>
      </c>
      <c r="H289" s="914"/>
      <c r="I289" s="914"/>
      <c r="J289" s="915"/>
      <c r="K289" s="915"/>
    </row>
    <row r="290" spans="2:11">
      <c r="B290" s="139"/>
      <c r="C290" s="948" t="s">
        <v>975</v>
      </c>
      <c r="D290" s="945" t="s">
        <v>1653</v>
      </c>
      <c r="E290" s="947">
        <v>13076</v>
      </c>
      <c r="F290" s="947">
        <v>13253</v>
      </c>
      <c r="H290" s="914"/>
      <c r="I290" s="914"/>
      <c r="J290" s="915"/>
      <c r="K290" s="915"/>
    </row>
    <row r="291" spans="2:11">
      <c r="B291" s="139"/>
      <c r="C291" s="948" t="s">
        <v>953</v>
      </c>
      <c r="D291" s="945" t="s">
        <v>1654</v>
      </c>
      <c r="E291" s="947">
        <v>24475</v>
      </c>
      <c r="F291" s="947">
        <v>24595</v>
      </c>
      <c r="H291" s="914"/>
      <c r="I291" s="914"/>
      <c r="J291" s="915"/>
      <c r="K291" s="915"/>
    </row>
    <row r="292" spans="2:11">
      <c r="B292" s="139"/>
      <c r="C292" s="948" t="s">
        <v>954</v>
      </c>
      <c r="D292" s="945" t="s">
        <v>1655</v>
      </c>
      <c r="E292" s="947">
        <v>8425</v>
      </c>
      <c r="F292" s="947">
        <v>8400</v>
      </c>
      <c r="H292" s="914"/>
      <c r="I292" s="914"/>
      <c r="J292" s="915"/>
      <c r="K292" s="915"/>
    </row>
    <row r="293" spans="2:11">
      <c r="B293" s="139"/>
      <c r="C293" s="948" t="s">
        <v>955</v>
      </c>
      <c r="D293" s="945" t="s">
        <v>1656</v>
      </c>
      <c r="E293" s="947">
        <v>0</v>
      </c>
      <c r="F293" s="947">
        <v>0</v>
      </c>
      <c r="H293" s="914"/>
      <c r="I293" s="914"/>
      <c r="J293" s="915"/>
      <c r="K293" s="915"/>
    </row>
    <row r="294" spans="2:11">
      <c r="B294" s="139"/>
      <c r="C294" s="948" t="s">
        <v>956</v>
      </c>
      <c r="D294" s="945" t="s">
        <v>1657</v>
      </c>
      <c r="E294" s="947">
        <v>14012</v>
      </c>
      <c r="F294" s="947">
        <v>15182</v>
      </c>
      <c r="H294" s="914"/>
      <c r="I294" s="914"/>
      <c r="J294" s="915"/>
      <c r="K294" s="915"/>
    </row>
    <row r="295" spans="2:11">
      <c r="B295" s="139"/>
      <c r="C295" s="948" t="s">
        <v>957</v>
      </c>
      <c r="D295" s="945" t="s">
        <v>1658</v>
      </c>
      <c r="E295" s="947">
        <v>23064</v>
      </c>
      <c r="F295" s="947">
        <v>23712</v>
      </c>
      <c r="H295" s="914"/>
      <c r="I295" s="914"/>
      <c r="J295" s="915"/>
      <c r="K295" s="915"/>
    </row>
    <row r="296" spans="2:11">
      <c r="B296" s="139"/>
      <c r="C296" s="948" t="s">
        <v>958</v>
      </c>
      <c r="D296" s="945" t="s">
        <v>1659</v>
      </c>
      <c r="E296" s="947">
        <v>30496</v>
      </c>
      <c r="F296" s="947">
        <v>29380</v>
      </c>
      <c r="H296" s="914"/>
      <c r="I296" s="914"/>
      <c r="J296" s="915"/>
      <c r="K296" s="915"/>
    </row>
    <row r="297" spans="2:11">
      <c r="B297" s="139"/>
      <c r="C297" s="948" t="s">
        <v>959</v>
      </c>
      <c r="D297" s="945" t="s">
        <v>1660</v>
      </c>
      <c r="E297" s="947">
        <v>17031</v>
      </c>
      <c r="F297" s="947">
        <v>17493</v>
      </c>
      <c r="H297" s="914"/>
      <c r="I297" s="914"/>
      <c r="J297" s="915"/>
      <c r="K297" s="915"/>
    </row>
    <row r="298" spans="2:11">
      <c r="B298" s="139"/>
      <c r="C298" s="948" t="s">
        <v>960</v>
      </c>
      <c r="D298" s="945" t="s">
        <v>1661</v>
      </c>
      <c r="E298" s="947">
        <v>16621</v>
      </c>
      <c r="F298" s="947">
        <v>17071</v>
      </c>
      <c r="H298" s="914"/>
      <c r="I298" s="914"/>
      <c r="J298" s="915"/>
      <c r="K298" s="915"/>
    </row>
    <row r="299" spans="2:11">
      <c r="B299" s="139"/>
      <c r="C299" s="948" t="s">
        <v>961</v>
      </c>
      <c r="D299" s="945" t="s">
        <v>1662</v>
      </c>
      <c r="E299" s="947">
        <v>16086</v>
      </c>
      <c r="F299" s="947">
        <v>16535</v>
      </c>
      <c r="H299" s="914"/>
      <c r="I299" s="914"/>
      <c r="J299" s="915"/>
      <c r="K299" s="915"/>
    </row>
    <row r="300" spans="2:11">
      <c r="B300" s="139"/>
      <c r="C300" s="948" t="s">
        <v>962</v>
      </c>
      <c r="D300" s="945" t="s">
        <v>1663</v>
      </c>
      <c r="E300" s="947">
        <v>12240</v>
      </c>
      <c r="F300" s="947">
        <v>12750</v>
      </c>
      <c r="H300" s="914"/>
      <c r="I300" s="914"/>
      <c r="J300" s="915"/>
      <c r="K300" s="915"/>
    </row>
    <row r="301" spans="2:11">
      <c r="B301" s="139"/>
      <c r="C301" s="948" t="s">
        <v>963</v>
      </c>
      <c r="D301" s="945" t="s">
        <v>1664</v>
      </c>
      <c r="E301" s="947">
        <v>12986</v>
      </c>
      <c r="F301" s="947">
        <v>13430</v>
      </c>
      <c r="H301" s="914"/>
      <c r="I301" s="914"/>
      <c r="J301" s="915"/>
      <c r="K301" s="915"/>
    </row>
    <row r="302" spans="2:11">
      <c r="B302" s="139"/>
      <c r="C302" s="948" t="s">
        <v>964</v>
      </c>
      <c r="D302" s="945" t="s">
        <v>1665</v>
      </c>
      <c r="E302" s="947">
        <v>10673</v>
      </c>
      <c r="F302" s="947">
        <v>9424</v>
      </c>
      <c r="H302" s="914"/>
      <c r="I302" s="914"/>
      <c r="J302" s="915"/>
      <c r="K302" s="915"/>
    </row>
    <row r="303" spans="2:11">
      <c r="B303" s="139"/>
      <c r="C303" s="948" t="s">
        <v>965</v>
      </c>
      <c r="D303" s="945" t="s">
        <v>1666</v>
      </c>
      <c r="E303" s="947">
        <v>14299</v>
      </c>
      <c r="F303" s="947">
        <v>14907</v>
      </c>
      <c r="H303" s="914"/>
      <c r="I303" s="914"/>
      <c r="J303" s="915"/>
      <c r="K303" s="915"/>
    </row>
    <row r="304" spans="2:11">
      <c r="B304" s="139"/>
      <c r="C304" s="948" t="s">
        <v>966</v>
      </c>
      <c r="D304" s="945" t="s">
        <v>1667</v>
      </c>
      <c r="E304" s="947">
        <v>25613</v>
      </c>
      <c r="F304" s="947">
        <v>26281</v>
      </c>
      <c r="H304" s="914"/>
      <c r="I304" s="914"/>
      <c r="J304" s="915"/>
      <c r="K304" s="915"/>
    </row>
    <row r="305" spans="2:11">
      <c r="B305" s="139"/>
      <c r="C305" s="948" t="s">
        <v>967</v>
      </c>
      <c r="D305" s="945" t="s">
        <v>1668</v>
      </c>
      <c r="E305" s="947">
        <v>19097</v>
      </c>
      <c r="F305" s="947">
        <v>19828</v>
      </c>
      <c r="H305" s="914"/>
      <c r="I305" s="914"/>
      <c r="J305" s="915"/>
      <c r="K305" s="915"/>
    </row>
    <row r="306" spans="2:11">
      <c r="B306" s="139"/>
      <c r="C306" s="948" t="s">
        <v>968</v>
      </c>
      <c r="D306" s="945" t="s">
        <v>1669</v>
      </c>
      <c r="E306" s="947">
        <v>14170</v>
      </c>
      <c r="F306" s="947">
        <v>14900</v>
      </c>
      <c r="H306" s="914"/>
      <c r="I306" s="914"/>
      <c r="J306" s="915"/>
      <c r="K306" s="915"/>
    </row>
    <row r="307" spans="2:11">
      <c r="B307" s="139"/>
      <c r="C307" s="948" t="s">
        <v>969</v>
      </c>
      <c r="D307" s="945" t="s">
        <v>1670</v>
      </c>
      <c r="E307" s="947">
        <v>9678</v>
      </c>
      <c r="F307" s="947">
        <v>9620</v>
      </c>
      <c r="H307" s="914"/>
      <c r="I307" s="914"/>
      <c r="J307" s="915"/>
      <c r="K307" s="915"/>
    </row>
    <row r="308" spans="2:11">
      <c r="B308" s="139"/>
      <c r="C308" s="948" t="s">
        <v>970</v>
      </c>
      <c r="D308" s="945" t="s">
        <v>1671</v>
      </c>
      <c r="E308" s="947">
        <v>14484</v>
      </c>
      <c r="F308" s="947">
        <v>15930</v>
      </c>
      <c r="H308" s="914"/>
      <c r="I308" s="914"/>
      <c r="J308" s="915"/>
      <c r="K308" s="915"/>
    </row>
    <row r="309" spans="2:11">
      <c r="B309" s="139"/>
      <c r="C309" s="948" t="s">
        <v>971</v>
      </c>
      <c r="D309" s="945" t="s">
        <v>1672</v>
      </c>
      <c r="E309" s="947">
        <v>21199</v>
      </c>
      <c r="F309" s="947">
        <v>21540</v>
      </c>
      <c r="H309" s="914"/>
      <c r="I309" s="914"/>
      <c r="J309" s="915"/>
      <c r="K309" s="915"/>
    </row>
    <row r="310" spans="2:11">
      <c r="B310" s="139"/>
      <c r="C310" s="948" t="s">
        <v>972</v>
      </c>
      <c r="D310" s="945" t="s">
        <v>1673</v>
      </c>
      <c r="E310" s="947">
        <v>24890</v>
      </c>
      <c r="F310" s="947">
        <v>26575</v>
      </c>
      <c r="H310" s="914"/>
      <c r="I310" s="914"/>
      <c r="J310" s="915"/>
      <c r="K310" s="915"/>
    </row>
    <row r="311" spans="2:11">
      <c r="B311" s="139"/>
      <c r="C311" s="948" t="s">
        <v>973</v>
      </c>
      <c r="D311" s="945" t="s">
        <v>1674</v>
      </c>
      <c r="E311" s="947">
        <v>13656</v>
      </c>
      <c r="F311" s="947">
        <v>13835</v>
      </c>
      <c r="H311" s="914"/>
      <c r="I311" s="914"/>
      <c r="J311" s="915"/>
      <c r="K311" s="915"/>
    </row>
    <row r="312" spans="2:11">
      <c r="B312" s="139"/>
      <c r="C312" s="948" t="s">
        <v>974</v>
      </c>
      <c r="D312" s="945" t="s">
        <v>1675</v>
      </c>
      <c r="E312" s="947">
        <v>11143</v>
      </c>
      <c r="F312" s="947">
        <v>11968</v>
      </c>
      <c r="H312" s="914"/>
      <c r="I312" s="914"/>
      <c r="J312" s="915"/>
      <c r="K312" s="915"/>
    </row>
    <row r="313" spans="2:11">
      <c r="B313" s="139"/>
      <c r="C313" s="948" t="s">
        <v>802</v>
      </c>
      <c r="D313" s="945" t="s">
        <v>1676</v>
      </c>
      <c r="E313" s="947">
        <v>13501</v>
      </c>
      <c r="F313" s="947">
        <v>14262</v>
      </c>
      <c r="H313" s="914"/>
      <c r="I313" s="914"/>
      <c r="J313" s="915"/>
      <c r="K313" s="915"/>
    </row>
    <row r="314" spans="2:11">
      <c r="B314" s="139"/>
      <c r="C314" s="948" t="s">
        <v>976</v>
      </c>
      <c r="D314" s="945" t="s">
        <v>1677</v>
      </c>
      <c r="E314" s="947">
        <v>15314</v>
      </c>
      <c r="F314" s="947">
        <v>15610</v>
      </c>
      <c r="H314" s="914"/>
      <c r="I314" s="914"/>
      <c r="J314" s="915"/>
      <c r="K314" s="915"/>
    </row>
    <row r="315" spans="2:11">
      <c r="B315" s="139"/>
      <c r="C315" s="948" t="s">
        <v>977</v>
      </c>
      <c r="D315" s="945" t="s">
        <v>1678</v>
      </c>
      <c r="E315" s="947">
        <v>17811</v>
      </c>
      <c r="F315" s="947">
        <v>18563</v>
      </c>
      <c r="H315" s="914"/>
      <c r="I315" s="914"/>
      <c r="J315" s="915"/>
      <c r="K315" s="915"/>
    </row>
    <row r="316" spans="2:11">
      <c r="B316" s="139"/>
      <c r="C316" s="948" t="s">
        <v>978</v>
      </c>
      <c r="D316" s="945" t="s">
        <v>1679</v>
      </c>
      <c r="E316" s="947">
        <v>47592</v>
      </c>
      <c r="F316" s="947">
        <v>47088</v>
      </c>
      <c r="H316" s="914"/>
      <c r="I316" s="914"/>
      <c r="J316" s="915"/>
      <c r="K316" s="915"/>
    </row>
    <row r="317" spans="2:11">
      <c r="B317" s="139"/>
      <c r="C317" s="948" t="s">
        <v>980</v>
      </c>
      <c r="D317" s="945" t="s">
        <v>1680</v>
      </c>
      <c r="E317" s="947">
        <v>13355</v>
      </c>
      <c r="F317" s="947">
        <v>14179</v>
      </c>
      <c r="H317" s="914"/>
      <c r="I317" s="914"/>
      <c r="J317" s="915"/>
      <c r="K317" s="915"/>
    </row>
    <row r="318" spans="2:11">
      <c r="B318" s="139"/>
      <c r="C318" s="948" t="s">
        <v>979</v>
      </c>
      <c r="D318" s="945" t="s">
        <v>1681</v>
      </c>
      <c r="E318" s="947">
        <v>11679</v>
      </c>
      <c r="F318" s="947">
        <v>12035</v>
      </c>
      <c r="H318" s="914"/>
      <c r="I318" s="914"/>
      <c r="J318" s="915"/>
      <c r="K318" s="915"/>
    </row>
    <row r="319" spans="2:11">
      <c r="B319" s="139"/>
      <c r="C319" s="948" t="s">
        <v>981</v>
      </c>
      <c r="D319" s="945" t="s">
        <v>1682</v>
      </c>
      <c r="E319" s="947">
        <v>19604</v>
      </c>
      <c r="F319" s="947">
        <v>20031</v>
      </c>
      <c r="H319" s="914"/>
      <c r="I319" s="914"/>
      <c r="J319" s="915"/>
      <c r="K319" s="915"/>
    </row>
    <row r="320" spans="2:11">
      <c r="B320" s="139"/>
      <c r="C320" s="948" t="s">
        <v>982</v>
      </c>
      <c r="D320" s="945" t="s">
        <v>1683</v>
      </c>
      <c r="E320" s="947">
        <v>14107</v>
      </c>
      <c r="F320" s="947">
        <v>14258</v>
      </c>
      <c r="H320" s="914"/>
      <c r="I320" s="914"/>
      <c r="J320" s="915"/>
      <c r="K320" s="915"/>
    </row>
    <row r="321" spans="2:11">
      <c r="B321" s="139"/>
      <c r="C321" s="948" t="s">
        <v>983</v>
      </c>
      <c r="D321" s="945" t="s">
        <v>1684</v>
      </c>
      <c r="E321" s="947">
        <v>16551</v>
      </c>
      <c r="F321" s="947">
        <v>16988</v>
      </c>
      <c r="H321" s="914"/>
      <c r="I321" s="914"/>
      <c r="J321" s="915"/>
      <c r="K321" s="915"/>
    </row>
    <row r="322" spans="2:11">
      <c r="B322" s="139"/>
      <c r="C322" s="948" t="s">
        <v>984</v>
      </c>
      <c r="D322" s="945" t="s">
        <v>1685</v>
      </c>
      <c r="E322" s="947">
        <v>28865</v>
      </c>
      <c r="F322" s="947">
        <v>29396</v>
      </c>
      <c r="H322" s="914"/>
      <c r="I322" s="914"/>
      <c r="J322" s="915"/>
      <c r="K322" s="915"/>
    </row>
    <row r="323" spans="2:11">
      <c r="B323" s="139"/>
      <c r="C323" s="948" t="s">
        <v>847</v>
      </c>
      <c r="D323" s="945" t="s">
        <v>1686</v>
      </c>
      <c r="E323" s="947">
        <v>12946</v>
      </c>
      <c r="F323" s="947">
        <v>13315</v>
      </c>
      <c r="H323" s="914"/>
      <c r="I323" s="914"/>
      <c r="J323" s="915"/>
      <c r="K323" s="915"/>
    </row>
    <row r="324" spans="2:11">
      <c r="B324" s="139"/>
      <c r="C324" s="948" t="s">
        <v>985</v>
      </c>
      <c r="D324" s="945" t="s">
        <v>1687</v>
      </c>
      <c r="E324" s="947">
        <v>16385</v>
      </c>
      <c r="F324" s="947">
        <v>16944</v>
      </c>
      <c r="H324" s="914"/>
      <c r="I324" s="914"/>
      <c r="J324" s="915"/>
      <c r="K324" s="915"/>
    </row>
    <row r="325" spans="2:11">
      <c r="B325" s="139"/>
      <c r="C325" s="948" t="s">
        <v>986</v>
      </c>
      <c r="D325" s="945" t="s">
        <v>1688</v>
      </c>
      <c r="E325" s="947">
        <v>10740</v>
      </c>
      <c r="F325" s="947">
        <v>11054</v>
      </c>
      <c r="H325" s="914"/>
      <c r="I325" s="914"/>
      <c r="J325" s="915"/>
      <c r="K325" s="915"/>
    </row>
    <row r="326" spans="2:11">
      <c r="B326" s="139"/>
      <c r="C326" s="948" t="s">
        <v>987</v>
      </c>
      <c r="D326" s="945" t="s">
        <v>1689</v>
      </c>
      <c r="E326" s="947">
        <v>14058</v>
      </c>
      <c r="F326" s="947">
        <v>14889</v>
      </c>
      <c r="H326" s="914"/>
      <c r="I326" s="914"/>
      <c r="J326" s="915"/>
      <c r="K326" s="915"/>
    </row>
    <row r="327" spans="2:11">
      <c r="B327" s="139"/>
      <c r="C327" s="948" t="s">
        <v>988</v>
      </c>
      <c r="D327" s="945" t="s">
        <v>1690</v>
      </c>
      <c r="E327" s="947">
        <v>12613</v>
      </c>
      <c r="F327" s="947">
        <v>13621</v>
      </c>
      <c r="H327" s="914"/>
      <c r="I327" s="914"/>
      <c r="J327" s="915"/>
      <c r="K327" s="915"/>
    </row>
    <row r="328" spans="2:11">
      <c r="B328" s="139"/>
      <c r="C328" s="948" t="s">
        <v>989</v>
      </c>
      <c r="D328" s="945" t="s">
        <v>1691</v>
      </c>
      <c r="E328" s="947">
        <v>11871</v>
      </c>
      <c r="F328" s="947">
        <v>12251</v>
      </c>
      <c r="H328" s="914"/>
      <c r="I328" s="914"/>
      <c r="J328" s="915"/>
      <c r="K328" s="915"/>
    </row>
    <row r="329" spans="2:11">
      <c r="B329" s="139"/>
      <c r="C329" s="948" t="s">
        <v>990</v>
      </c>
      <c r="D329" s="945" t="s">
        <v>1692</v>
      </c>
      <c r="E329" s="947">
        <v>19566</v>
      </c>
      <c r="F329" s="947">
        <v>19372</v>
      </c>
      <c r="H329" s="914"/>
      <c r="I329" s="914"/>
      <c r="J329" s="915"/>
      <c r="K329" s="915"/>
    </row>
    <row r="330" spans="2:11">
      <c r="B330" s="139"/>
      <c r="C330" s="948" t="s">
        <v>991</v>
      </c>
      <c r="D330" s="945" t="s">
        <v>1693</v>
      </c>
      <c r="E330" s="947">
        <v>13123</v>
      </c>
      <c r="F330" s="947">
        <v>13628</v>
      </c>
      <c r="H330" s="914"/>
      <c r="I330" s="914"/>
      <c r="J330" s="915"/>
      <c r="K330" s="915"/>
    </row>
    <row r="331" spans="2:11">
      <c r="B331" s="139"/>
      <c r="C331" s="948" t="s">
        <v>992</v>
      </c>
      <c r="D331" s="945" t="s">
        <v>1694</v>
      </c>
      <c r="E331" s="947">
        <v>12475</v>
      </c>
      <c r="F331" s="947">
        <v>12870</v>
      </c>
      <c r="H331" s="914"/>
      <c r="I331" s="914"/>
      <c r="J331" s="915"/>
      <c r="K331" s="915"/>
    </row>
    <row r="332" spans="2:11">
      <c r="B332" s="139"/>
      <c r="C332" s="948" t="s">
        <v>993</v>
      </c>
      <c r="D332" s="945" t="s">
        <v>1695</v>
      </c>
      <c r="E332" s="947">
        <v>18400</v>
      </c>
      <c r="F332" s="947">
        <v>18656</v>
      </c>
      <c r="H332" s="914"/>
      <c r="I332" s="914"/>
      <c r="J332" s="915"/>
      <c r="K332" s="915"/>
    </row>
    <row r="333" spans="2:11">
      <c r="B333" s="139"/>
      <c r="C333" s="948" t="s">
        <v>994</v>
      </c>
      <c r="D333" s="945" t="s">
        <v>1696</v>
      </c>
      <c r="E333" s="947">
        <v>13842</v>
      </c>
      <c r="F333" s="947">
        <v>14356</v>
      </c>
      <c r="H333" s="914"/>
      <c r="I333" s="914"/>
      <c r="J333" s="915"/>
      <c r="K333" s="915"/>
    </row>
    <row r="334" spans="2:11">
      <c r="B334" s="139"/>
      <c r="C334" s="948" t="s">
        <v>995</v>
      </c>
      <c r="D334" s="945" t="s">
        <v>1697</v>
      </c>
      <c r="E334" s="947">
        <v>20666</v>
      </c>
      <c r="F334" s="947">
        <v>20984</v>
      </c>
      <c r="H334" s="914"/>
      <c r="I334" s="914"/>
      <c r="J334" s="915"/>
      <c r="K334" s="915"/>
    </row>
    <row r="335" spans="2:11">
      <c r="B335" s="139"/>
      <c r="C335" s="948" t="s">
        <v>996</v>
      </c>
      <c r="D335" s="945" t="s">
        <v>1698</v>
      </c>
      <c r="E335" s="947">
        <v>15691</v>
      </c>
      <c r="F335" s="947">
        <v>16135</v>
      </c>
      <c r="H335" s="914"/>
      <c r="I335" s="914"/>
      <c r="J335" s="915"/>
      <c r="K335" s="915"/>
    </row>
    <row r="336" spans="2:11">
      <c r="B336" s="139"/>
      <c r="C336" s="948" t="s">
        <v>997</v>
      </c>
      <c r="D336" s="945" t="s">
        <v>1699</v>
      </c>
      <c r="E336" s="947">
        <v>16247</v>
      </c>
      <c r="F336" s="947">
        <v>17336</v>
      </c>
      <c r="H336" s="914"/>
      <c r="I336" s="914"/>
      <c r="J336" s="915"/>
      <c r="K336" s="915"/>
    </row>
    <row r="337" spans="2:11">
      <c r="B337" s="139"/>
      <c r="C337" s="948" t="s">
        <v>998</v>
      </c>
      <c r="D337" s="945" t="s">
        <v>1700</v>
      </c>
      <c r="E337" s="947">
        <v>14527</v>
      </c>
      <c r="F337" s="947">
        <v>15909</v>
      </c>
      <c r="H337" s="914"/>
      <c r="I337" s="914"/>
      <c r="J337" s="915"/>
      <c r="K337" s="915"/>
    </row>
    <row r="338" spans="2:11">
      <c r="B338" s="139"/>
      <c r="C338" s="948" t="s">
        <v>999</v>
      </c>
      <c r="D338" s="945" t="s">
        <v>1701</v>
      </c>
      <c r="E338" s="947">
        <v>14609</v>
      </c>
      <c r="F338" s="947">
        <v>14982</v>
      </c>
      <c r="H338" s="914"/>
      <c r="I338" s="914"/>
      <c r="J338" s="915"/>
      <c r="K338" s="915"/>
    </row>
    <row r="339" spans="2:11">
      <c r="B339" s="139"/>
      <c r="C339" s="948" t="s">
        <v>1000</v>
      </c>
      <c r="D339" s="945" t="s">
        <v>1702</v>
      </c>
      <c r="E339" s="947">
        <v>18772</v>
      </c>
      <c r="F339" s="947">
        <v>19639</v>
      </c>
      <c r="H339" s="914"/>
      <c r="I339" s="914"/>
      <c r="J339" s="915"/>
      <c r="K339" s="915"/>
    </row>
    <row r="340" spans="2:11">
      <c r="B340" s="139"/>
      <c r="C340" s="948" t="s">
        <v>1001</v>
      </c>
      <c r="D340" s="945" t="s">
        <v>1703</v>
      </c>
      <c r="E340" s="947">
        <v>13261</v>
      </c>
      <c r="F340" s="947">
        <v>14204</v>
      </c>
      <c r="H340" s="914"/>
      <c r="I340" s="914"/>
      <c r="J340" s="915"/>
      <c r="K340" s="915"/>
    </row>
    <row r="341" spans="2:11">
      <c r="B341" s="139"/>
      <c r="C341" s="948" t="s">
        <v>1002</v>
      </c>
      <c r="D341" s="945" t="s">
        <v>1704</v>
      </c>
      <c r="E341" s="947">
        <v>12352</v>
      </c>
      <c r="F341" s="947">
        <v>13235</v>
      </c>
      <c r="H341" s="914"/>
      <c r="I341" s="914"/>
      <c r="J341" s="915"/>
      <c r="K341" s="915"/>
    </row>
    <row r="342" spans="2:11">
      <c r="B342" s="139"/>
      <c r="C342" s="948" t="s">
        <v>1003</v>
      </c>
      <c r="D342" s="945" t="s">
        <v>1705</v>
      </c>
      <c r="E342" s="947">
        <v>25005</v>
      </c>
      <c r="F342" s="947">
        <v>25318</v>
      </c>
      <c r="H342" s="914"/>
      <c r="I342" s="914"/>
      <c r="J342" s="915"/>
      <c r="K342" s="915"/>
    </row>
    <row r="343" spans="2:11">
      <c r="B343" s="139"/>
      <c r="C343" s="948" t="s">
        <v>1004</v>
      </c>
      <c r="D343" s="945" t="s">
        <v>1706</v>
      </c>
      <c r="E343" s="947">
        <v>23742</v>
      </c>
      <c r="F343" s="947">
        <v>24051</v>
      </c>
      <c r="H343" s="914"/>
      <c r="I343" s="914"/>
      <c r="J343" s="915"/>
      <c r="K343" s="915"/>
    </row>
    <row r="344" spans="2:11">
      <c r="B344" s="139"/>
      <c r="C344" s="948" t="s">
        <v>1005</v>
      </c>
      <c r="D344" s="945" t="s">
        <v>1707</v>
      </c>
      <c r="E344" s="947">
        <v>43783</v>
      </c>
      <c r="F344" s="947">
        <v>45736</v>
      </c>
      <c r="H344" s="914"/>
      <c r="I344" s="914"/>
      <c r="J344" s="915"/>
      <c r="K344" s="915"/>
    </row>
    <row r="345" spans="2:11">
      <c r="B345" s="139"/>
      <c r="C345" s="948" t="s">
        <v>1006</v>
      </c>
      <c r="D345" s="945" t="s">
        <v>1708</v>
      </c>
      <c r="E345" s="947">
        <v>16613</v>
      </c>
      <c r="F345" s="947">
        <v>17193</v>
      </c>
      <c r="H345" s="914"/>
      <c r="I345" s="914"/>
      <c r="J345" s="915"/>
      <c r="K345" s="915"/>
    </row>
    <row r="346" spans="2:11">
      <c r="B346" s="139"/>
      <c r="C346" s="948" t="s">
        <v>1007</v>
      </c>
      <c r="D346" s="945" t="s">
        <v>1709</v>
      </c>
      <c r="E346" s="947">
        <v>11100</v>
      </c>
      <c r="F346" s="947">
        <v>11330</v>
      </c>
      <c r="H346" s="914"/>
      <c r="I346" s="914"/>
      <c r="J346" s="915"/>
      <c r="K346" s="915"/>
    </row>
    <row r="347" spans="2:11">
      <c r="B347" s="139"/>
      <c r="C347" s="948" t="s">
        <v>1008</v>
      </c>
      <c r="D347" s="945" t="s">
        <v>1710</v>
      </c>
      <c r="E347" s="947">
        <v>15605</v>
      </c>
      <c r="F347" s="947">
        <v>16285</v>
      </c>
      <c r="H347" s="914"/>
      <c r="I347" s="914"/>
      <c r="J347" s="915"/>
      <c r="K347" s="915"/>
    </row>
    <row r="348" spans="2:11">
      <c r="B348" s="139"/>
      <c r="C348" s="948" t="s">
        <v>1009</v>
      </c>
      <c r="D348" s="945" t="s">
        <v>1711</v>
      </c>
      <c r="E348" s="947">
        <v>19673</v>
      </c>
      <c r="F348" s="947">
        <v>20137</v>
      </c>
      <c r="H348" s="914"/>
      <c r="I348" s="914"/>
      <c r="J348" s="915"/>
      <c r="K348" s="915"/>
    </row>
    <row r="349" spans="2:11">
      <c r="B349" s="139"/>
      <c r="C349" s="948" t="s">
        <v>1010</v>
      </c>
      <c r="D349" s="945" t="s">
        <v>1712</v>
      </c>
      <c r="E349" s="947">
        <v>20816</v>
      </c>
      <c r="F349" s="947">
        <v>22200</v>
      </c>
      <c r="H349" s="914"/>
      <c r="I349" s="914"/>
      <c r="J349" s="915"/>
      <c r="K349" s="915"/>
    </row>
    <row r="350" spans="2:11">
      <c r="B350" s="139"/>
      <c r="C350" s="948" t="s">
        <v>1011</v>
      </c>
      <c r="D350" s="945" t="s">
        <v>1713</v>
      </c>
      <c r="E350" s="947">
        <v>12897</v>
      </c>
      <c r="F350" s="947">
        <v>12803</v>
      </c>
      <c r="H350" s="914"/>
      <c r="I350" s="914"/>
      <c r="J350" s="915"/>
      <c r="K350" s="915"/>
    </row>
    <row r="351" spans="2:11">
      <c r="B351" s="139"/>
      <c r="C351" s="948" t="s">
        <v>1012</v>
      </c>
      <c r="D351" s="945" t="s">
        <v>1714</v>
      </c>
      <c r="E351" s="947">
        <v>13774</v>
      </c>
      <c r="F351" s="947">
        <v>14092</v>
      </c>
      <c r="H351" s="914"/>
      <c r="I351" s="914"/>
      <c r="J351" s="915"/>
      <c r="K351" s="915"/>
    </row>
    <row r="352" spans="2:11">
      <c r="B352" s="139"/>
      <c r="C352" s="948" t="s">
        <v>1013</v>
      </c>
      <c r="D352" s="945" t="s">
        <v>1715</v>
      </c>
      <c r="E352" s="947">
        <v>13036</v>
      </c>
      <c r="F352" s="947">
        <v>13736</v>
      </c>
      <c r="H352" s="914"/>
      <c r="I352" s="914"/>
      <c r="J352" s="915"/>
      <c r="K352" s="915"/>
    </row>
    <row r="353" spans="2:11">
      <c r="B353" s="139"/>
      <c r="C353" s="948" t="s">
        <v>1014</v>
      </c>
      <c r="D353" s="945" t="s">
        <v>1716</v>
      </c>
      <c r="E353" s="947">
        <v>13666</v>
      </c>
      <c r="F353" s="947">
        <v>14184</v>
      </c>
      <c r="H353" s="914"/>
      <c r="I353" s="914"/>
      <c r="J353" s="915"/>
      <c r="K353" s="915"/>
    </row>
    <row r="354" spans="2:11">
      <c r="B354" s="139"/>
      <c r="C354" s="948" t="s">
        <v>1015</v>
      </c>
      <c r="D354" s="945" t="s">
        <v>1717</v>
      </c>
      <c r="E354" s="947">
        <v>15429</v>
      </c>
      <c r="F354" s="947">
        <v>15812</v>
      </c>
      <c r="H354" s="914"/>
      <c r="I354" s="914"/>
      <c r="J354" s="915"/>
      <c r="K354" s="915"/>
    </row>
    <row r="355" spans="2:11">
      <c r="B355" s="139"/>
      <c r="C355" s="948" t="s">
        <v>1016</v>
      </c>
      <c r="D355" s="945" t="s">
        <v>1718</v>
      </c>
      <c r="E355" s="947">
        <v>12307</v>
      </c>
      <c r="F355" s="947">
        <v>12201</v>
      </c>
      <c r="H355" s="914"/>
      <c r="I355" s="914"/>
      <c r="J355" s="915"/>
      <c r="K355" s="915"/>
    </row>
    <row r="356" spans="2:11">
      <c r="B356" s="139"/>
      <c r="C356" s="948" t="s">
        <v>1017</v>
      </c>
      <c r="D356" s="945" t="s">
        <v>1719</v>
      </c>
      <c r="E356" s="947">
        <v>12835</v>
      </c>
      <c r="F356" s="947">
        <v>13668</v>
      </c>
      <c r="H356" s="914"/>
      <c r="I356" s="914"/>
      <c r="J356" s="915"/>
      <c r="K356" s="915"/>
    </row>
    <row r="357" spans="2:11">
      <c r="B357" s="139"/>
      <c r="C357" s="948" t="s">
        <v>1018</v>
      </c>
      <c r="D357" s="945" t="s">
        <v>1720</v>
      </c>
      <c r="E357" s="947">
        <v>22087</v>
      </c>
      <c r="F357" s="947">
        <v>22513</v>
      </c>
      <c r="H357" s="914"/>
      <c r="I357" s="914"/>
      <c r="J357" s="915"/>
      <c r="K357" s="915"/>
    </row>
    <row r="358" spans="2:11">
      <c r="B358" s="139"/>
      <c r="C358" s="948" t="s">
        <v>1019</v>
      </c>
      <c r="D358" s="945" t="s">
        <v>1721</v>
      </c>
      <c r="E358" s="947">
        <v>20436</v>
      </c>
      <c r="F358" s="947">
        <v>20929</v>
      </c>
      <c r="H358" s="914"/>
      <c r="I358" s="914"/>
      <c r="J358" s="915"/>
      <c r="K358" s="915"/>
    </row>
    <row r="359" spans="2:11">
      <c r="B359" s="139"/>
      <c r="C359" s="948" t="s">
        <v>1020</v>
      </c>
      <c r="D359" s="945" t="s">
        <v>1722</v>
      </c>
      <c r="E359" s="947">
        <v>13329</v>
      </c>
      <c r="F359" s="947">
        <v>14157</v>
      </c>
      <c r="H359" s="914"/>
      <c r="I359" s="914"/>
      <c r="J359" s="915"/>
      <c r="K359" s="915"/>
    </row>
    <row r="360" spans="2:11">
      <c r="B360" s="139"/>
      <c r="C360" s="948" t="s">
        <v>1021</v>
      </c>
      <c r="D360" s="945" t="s">
        <v>1723</v>
      </c>
      <c r="E360" s="947">
        <v>22228</v>
      </c>
      <c r="F360" s="947">
        <v>22468</v>
      </c>
      <c r="H360" s="914"/>
      <c r="I360" s="914"/>
      <c r="J360" s="915"/>
      <c r="K360" s="915"/>
    </row>
    <row r="361" spans="2:11">
      <c r="B361" s="139"/>
      <c r="C361" s="948" t="s">
        <v>1022</v>
      </c>
      <c r="D361" s="945" t="s">
        <v>1724</v>
      </c>
      <c r="E361" s="947">
        <v>14538</v>
      </c>
      <c r="F361" s="947">
        <v>14692</v>
      </c>
      <c r="H361" s="914"/>
      <c r="I361" s="914"/>
      <c r="J361" s="915"/>
      <c r="K361" s="915"/>
    </row>
    <row r="362" spans="2:11">
      <c r="B362" s="139"/>
      <c r="C362" s="948" t="s">
        <v>1023</v>
      </c>
      <c r="D362" s="945" t="s">
        <v>1725</v>
      </c>
      <c r="E362" s="947">
        <v>12176</v>
      </c>
      <c r="F362" s="947">
        <v>12549</v>
      </c>
      <c r="H362" s="914"/>
      <c r="I362" s="914"/>
      <c r="J362" s="915"/>
      <c r="K362" s="915"/>
    </row>
    <row r="363" spans="2:11">
      <c r="B363" s="139"/>
      <c r="C363" s="948" t="s">
        <v>891</v>
      </c>
      <c r="D363" s="945" t="s">
        <v>1726</v>
      </c>
      <c r="E363" s="947">
        <v>14696</v>
      </c>
      <c r="F363" s="947">
        <v>15168</v>
      </c>
      <c r="H363" s="914"/>
      <c r="I363" s="914"/>
      <c r="J363" s="915"/>
      <c r="K363" s="915"/>
    </row>
    <row r="364" spans="2:11">
      <c r="B364" s="139"/>
      <c r="C364" s="948" t="s">
        <v>1024</v>
      </c>
      <c r="D364" s="945" t="s">
        <v>1727</v>
      </c>
      <c r="E364" s="947">
        <v>16719</v>
      </c>
      <c r="F364" s="947">
        <v>18028</v>
      </c>
      <c r="H364" s="914"/>
      <c r="I364" s="914"/>
      <c r="J364" s="915"/>
      <c r="K364" s="915"/>
    </row>
    <row r="365" spans="2:11">
      <c r="B365" s="139"/>
      <c r="C365" s="948" t="s">
        <v>1025</v>
      </c>
      <c r="D365" s="945" t="s">
        <v>1728</v>
      </c>
      <c r="E365" s="947">
        <v>13409</v>
      </c>
      <c r="F365" s="947">
        <v>14006</v>
      </c>
      <c r="H365" s="914"/>
      <c r="I365" s="914"/>
      <c r="J365" s="915"/>
      <c r="K365" s="915"/>
    </row>
    <row r="366" spans="2:11">
      <c r="B366" s="139"/>
      <c r="C366" s="948" t="s">
        <v>1026</v>
      </c>
      <c r="D366" s="945" t="s">
        <v>1729</v>
      </c>
      <c r="E366" s="947">
        <v>18368</v>
      </c>
      <c r="F366" s="947">
        <v>19088</v>
      </c>
      <c r="H366" s="914"/>
      <c r="I366" s="914"/>
      <c r="J366" s="915"/>
      <c r="K366" s="915"/>
    </row>
    <row r="367" spans="2:11">
      <c r="B367" s="139"/>
      <c r="C367" s="948" t="s">
        <v>769</v>
      </c>
      <c r="D367" s="945" t="s">
        <v>1730</v>
      </c>
      <c r="E367" s="947">
        <v>12863</v>
      </c>
      <c r="F367" s="947">
        <v>13487</v>
      </c>
      <c r="H367" s="914"/>
      <c r="I367" s="914"/>
      <c r="J367" s="915"/>
      <c r="K367" s="915"/>
    </row>
    <row r="368" spans="2:11">
      <c r="B368" s="139"/>
      <c r="C368" s="948" t="s">
        <v>1027</v>
      </c>
      <c r="D368" s="945" t="s">
        <v>1731</v>
      </c>
      <c r="E368" s="947">
        <v>17941</v>
      </c>
      <c r="F368" s="947">
        <v>18190</v>
      </c>
      <c r="H368" s="914"/>
      <c r="I368" s="914"/>
      <c r="J368" s="915"/>
      <c r="K368" s="915"/>
    </row>
    <row r="369" spans="2:11">
      <c r="B369" s="139"/>
      <c r="C369" s="948" t="s">
        <v>1028</v>
      </c>
      <c r="D369" s="945" t="s">
        <v>1732</v>
      </c>
      <c r="E369" s="947">
        <v>11605</v>
      </c>
      <c r="F369" s="947">
        <v>11795</v>
      </c>
      <c r="H369" s="914"/>
      <c r="I369" s="914"/>
      <c r="J369" s="915"/>
      <c r="K369" s="915"/>
    </row>
    <row r="370" spans="2:11">
      <c r="B370" s="139"/>
      <c r="C370" s="948" t="s">
        <v>1029</v>
      </c>
      <c r="D370" s="945" t="s">
        <v>1733</v>
      </c>
      <c r="E370" s="947">
        <v>17381</v>
      </c>
      <c r="F370" s="947">
        <v>17482</v>
      </c>
      <c r="H370" s="914"/>
      <c r="I370" s="914"/>
      <c r="J370" s="915"/>
      <c r="K370" s="915"/>
    </row>
    <row r="371" spans="2:11">
      <c r="B371" s="139"/>
      <c r="C371" s="948" t="s">
        <v>1030</v>
      </c>
      <c r="D371" s="945" t="s">
        <v>1734</v>
      </c>
      <c r="E371" s="947">
        <v>11633</v>
      </c>
      <c r="F371" s="947">
        <v>11873</v>
      </c>
      <c r="H371" s="914"/>
      <c r="I371" s="914"/>
      <c r="J371" s="915"/>
      <c r="K371" s="915"/>
    </row>
    <row r="372" spans="2:11">
      <c r="B372" s="139"/>
      <c r="C372" s="948" t="s">
        <v>1031</v>
      </c>
      <c r="D372" s="945" t="s">
        <v>1735</v>
      </c>
      <c r="E372" s="947">
        <v>15873</v>
      </c>
      <c r="F372" s="947">
        <v>17040</v>
      </c>
      <c r="H372" s="914"/>
      <c r="I372" s="914"/>
      <c r="J372" s="915"/>
      <c r="K372" s="915"/>
    </row>
    <row r="373" spans="2:11">
      <c r="B373" s="139"/>
      <c r="C373" s="948" t="s">
        <v>1032</v>
      </c>
      <c r="D373" s="945" t="s">
        <v>1736</v>
      </c>
      <c r="E373" s="947">
        <v>14005</v>
      </c>
      <c r="F373" s="947">
        <v>14652</v>
      </c>
      <c r="H373" s="914"/>
      <c r="I373" s="914"/>
      <c r="J373" s="915"/>
      <c r="K373" s="915"/>
    </row>
    <row r="374" spans="2:11">
      <c r="B374" s="139"/>
      <c r="C374" s="948" t="s">
        <v>1033</v>
      </c>
      <c r="D374" s="945" t="s">
        <v>1737</v>
      </c>
      <c r="E374" s="947">
        <v>11829</v>
      </c>
      <c r="F374" s="947">
        <v>12061</v>
      </c>
      <c r="H374" s="914"/>
      <c r="I374" s="914"/>
      <c r="J374" s="915"/>
      <c r="K374" s="915"/>
    </row>
    <row r="375" spans="2:11">
      <c r="B375" s="139"/>
      <c r="C375" s="948" t="s">
        <v>1034</v>
      </c>
      <c r="D375" s="945" t="s">
        <v>1738</v>
      </c>
      <c r="E375" s="947">
        <v>16935</v>
      </c>
      <c r="F375" s="947">
        <v>17541</v>
      </c>
      <c r="H375" s="914"/>
      <c r="I375" s="914"/>
      <c r="J375" s="915"/>
      <c r="K375" s="915"/>
    </row>
    <row r="376" spans="2:11">
      <c r="B376" s="139"/>
      <c r="C376" s="948" t="s">
        <v>1035</v>
      </c>
      <c r="D376" s="945" t="s">
        <v>1739</v>
      </c>
      <c r="E376" s="947">
        <v>19860</v>
      </c>
      <c r="F376" s="947">
        <v>20027</v>
      </c>
      <c r="H376" s="914"/>
      <c r="I376" s="914"/>
      <c r="J376" s="915"/>
      <c r="K376" s="915"/>
    </row>
    <row r="377" spans="2:11">
      <c r="B377" s="139"/>
      <c r="C377" s="948" t="s">
        <v>1036</v>
      </c>
      <c r="D377" s="945" t="s">
        <v>1740</v>
      </c>
      <c r="E377" s="947">
        <v>13841</v>
      </c>
      <c r="F377" s="947">
        <v>14417</v>
      </c>
      <c r="H377" s="914"/>
      <c r="I377" s="914"/>
      <c r="J377" s="915"/>
      <c r="K377" s="915"/>
    </row>
    <row r="378" spans="2:11">
      <c r="B378" s="139"/>
      <c r="C378" s="948" t="s">
        <v>1037</v>
      </c>
      <c r="D378" s="945" t="s">
        <v>1741</v>
      </c>
      <c r="E378" s="947">
        <v>15728</v>
      </c>
      <c r="F378" s="947">
        <v>15899</v>
      </c>
      <c r="H378" s="914"/>
      <c r="I378" s="914"/>
      <c r="J378" s="915"/>
      <c r="K378" s="915"/>
    </row>
    <row r="379" spans="2:11">
      <c r="B379" s="139"/>
      <c r="C379" s="948" t="s">
        <v>1038</v>
      </c>
      <c r="D379" s="945" t="s">
        <v>1742</v>
      </c>
      <c r="E379" s="947">
        <v>13755</v>
      </c>
      <c r="F379" s="947">
        <v>14302</v>
      </c>
      <c r="H379" s="914"/>
      <c r="I379" s="914"/>
      <c r="J379" s="915"/>
      <c r="K379" s="915"/>
    </row>
    <row r="380" spans="2:11">
      <c r="B380" s="139"/>
      <c r="C380" s="948" t="s">
        <v>1039</v>
      </c>
      <c r="D380" s="945" t="s">
        <v>1743</v>
      </c>
      <c r="E380" s="947">
        <v>16816</v>
      </c>
      <c r="F380" s="947">
        <v>18072</v>
      </c>
      <c r="H380" s="914"/>
      <c r="I380" s="914"/>
      <c r="J380" s="915"/>
      <c r="K380" s="915"/>
    </row>
    <row r="381" spans="2:11">
      <c r="B381" s="139"/>
      <c r="C381" s="948" t="s">
        <v>1040</v>
      </c>
      <c r="D381" s="945" t="s">
        <v>1744</v>
      </c>
      <c r="E381" s="947">
        <v>15303</v>
      </c>
      <c r="F381" s="947">
        <v>15566</v>
      </c>
      <c r="H381" s="914"/>
      <c r="I381" s="914"/>
      <c r="J381" s="915"/>
      <c r="K381" s="915"/>
    </row>
    <row r="382" spans="2:11">
      <c r="B382" s="139"/>
      <c r="C382" s="948" t="s">
        <v>1041</v>
      </c>
      <c r="D382" s="945" t="s">
        <v>1745</v>
      </c>
      <c r="E382" s="947">
        <v>14088</v>
      </c>
      <c r="F382" s="947">
        <v>13958</v>
      </c>
      <c r="H382" s="914"/>
      <c r="I382" s="914"/>
      <c r="J382" s="915"/>
      <c r="K382" s="915"/>
    </row>
    <row r="383" spans="2:11">
      <c r="B383" s="139"/>
      <c r="C383" s="948" t="s">
        <v>1042</v>
      </c>
      <c r="D383" s="945" t="s">
        <v>1746</v>
      </c>
      <c r="E383" s="947">
        <v>14280</v>
      </c>
      <c r="F383" s="947">
        <v>14163</v>
      </c>
      <c r="H383" s="914"/>
      <c r="I383" s="914"/>
      <c r="J383" s="915"/>
      <c r="K383" s="915"/>
    </row>
    <row r="384" spans="2:11">
      <c r="B384" s="139"/>
      <c r="C384" s="948" t="s">
        <v>1043</v>
      </c>
      <c r="D384" s="945" t="s">
        <v>1747</v>
      </c>
      <c r="E384" s="947">
        <v>27241</v>
      </c>
      <c r="F384" s="947">
        <v>29317</v>
      </c>
      <c r="H384" s="914"/>
      <c r="I384" s="914"/>
      <c r="J384" s="915"/>
      <c r="K384" s="915"/>
    </row>
    <row r="385" spans="2:11">
      <c r="B385" s="139"/>
      <c r="C385" s="948" t="s">
        <v>1044</v>
      </c>
      <c r="D385" s="945" t="s">
        <v>1748</v>
      </c>
      <c r="E385" s="947">
        <v>26331</v>
      </c>
      <c r="F385" s="947">
        <v>27076</v>
      </c>
      <c r="H385" s="914"/>
      <c r="I385" s="914"/>
      <c r="J385" s="915"/>
      <c r="K385" s="915"/>
    </row>
    <row r="386" spans="2:11">
      <c r="B386" s="139"/>
      <c r="C386" s="948" t="s">
        <v>1045</v>
      </c>
      <c r="D386" s="945" t="s">
        <v>1749</v>
      </c>
      <c r="E386" s="947">
        <v>13395</v>
      </c>
      <c r="F386" s="947">
        <v>13743</v>
      </c>
      <c r="H386" s="914"/>
      <c r="I386" s="914"/>
      <c r="J386" s="915"/>
      <c r="K386" s="915"/>
    </row>
    <row r="387" spans="2:11">
      <c r="B387" s="139"/>
      <c r="C387" s="948" t="s">
        <v>1178</v>
      </c>
      <c r="D387" s="945" t="s">
        <v>1750</v>
      </c>
      <c r="E387" s="947">
        <v>10995</v>
      </c>
      <c r="F387" s="947">
        <v>11426</v>
      </c>
      <c r="H387" s="914"/>
      <c r="I387" s="914"/>
      <c r="J387" s="915"/>
      <c r="K387" s="915"/>
    </row>
    <row r="388" spans="2:11">
      <c r="B388" s="139"/>
      <c r="C388" s="948" t="s">
        <v>1046</v>
      </c>
      <c r="D388" s="945" t="s">
        <v>1751</v>
      </c>
      <c r="E388" s="947">
        <v>16117</v>
      </c>
      <c r="F388" s="947">
        <v>16787</v>
      </c>
      <c r="H388" s="914"/>
      <c r="I388" s="914"/>
      <c r="J388" s="915"/>
      <c r="K388" s="915"/>
    </row>
    <row r="389" spans="2:11">
      <c r="B389" s="139"/>
      <c r="C389" s="948" t="s">
        <v>1047</v>
      </c>
      <c r="D389" s="945" t="s">
        <v>1752</v>
      </c>
      <c r="E389" s="947">
        <v>35371</v>
      </c>
      <c r="F389" s="947">
        <v>35371</v>
      </c>
      <c r="H389" s="914"/>
      <c r="I389" s="914"/>
      <c r="J389" s="915"/>
      <c r="K389" s="915"/>
    </row>
    <row r="390" spans="2:11">
      <c r="B390" s="139"/>
      <c r="C390" s="948" t="s">
        <v>1048</v>
      </c>
      <c r="D390" s="945" t="s">
        <v>1753</v>
      </c>
      <c r="E390" s="947">
        <v>16694</v>
      </c>
      <c r="F390" s="947">
        <v>17313</v>
      </c>
      <c r="H390" s="914"/>
      <c r="I390" s="914"/>
      <c r="J390" s="915"/>
      <c r="K390" s="915"/>
    </row>
    <row r="391" spans="2:11">
      <c r="B391" s="139"/>
      <c r="C391" s="948" t="s">
        <v>1049</v>
      </c>
      <c r="D391" s="945" t="s">
        <v>1754</v>
      </c>
      <c r="E391" s="947">
        <v>12255</v>
      </c>
      <c r="F391" s="947">
        <v>12607</v>
      </c>
      <c r="H391" s="914"/>
      <c r="I391" s="914"/>
      <c r="J391" s="915"/>
      <c r="K391" s="915"/>
    </row>
    <row r="392" spans="2:11">
      <c r="B392" s="139"/>
      <c r="C392" s="948" t="s">
        <v>1050</v>
      </c>
      <c r="D392" s="945" t="s">
        <v>1755</v>
      </c>
      <c r="E392" s="947">
        <v>14528</v>
      </c>
      <c r="F392" s="947">
        <v>14871</v>
      </c>
      <c r="H392" s="914"/>
      <c r="I392" s="914"/>
      <c r="J392" s="915"/>
      <c r="K392" s="915"/>
    </row>
    <row r="393" spans="2:11">
      <c r="B393" s="139"/>
      <c r="C393" s="948" t="s">
        <v>1051</v>
      </c>
      <c r="D393" s="945" t="s">
        <v>1756</v>
      </c>
      <c r="E393" s="947">
        <v>11798</v>
      </c>
      <c r="F393" s="947">
        <v>11769</v>
      </c>
      <c r="H393" s="914"/>
      <c r="I393" s="914"/>
      <c r="J393" s="915"/>
      <c r="K393" s="915"/>
    </row>
    <row r="394" spans="2:11">
      <c r="B394" s="139"/>
      <c r="C394" s="948" t="s">
        <v>1052</v>
      </c>
      <c r="D394" s="945" t="s">
        <v>1757</v>
      </c>
      <c r="E394" s="947">
        <v>14307</v>
      </c>
      <c r="F394" s="947">
        <v>13629</v>
      </c>
      <c r="H394" s="914"/>
      <c r="I394" s="914"/>
      <c r="J394" s="915"/>
      <c r="K394" s="915"/>
    </row>
    <row r="395" spans="2:11">
      <c r="B395" s="139"/>
      <c r="C395" s="948" t="s">
        <v>1053</v>
      </c>
      <c r="D395" s="945" t="s">
        <v>1758</v>
      </c>
      <c r="E395" s="947">
        <v>14097</v>
      </c>
      <c r="F395" s="947">
        <v>14345</v>
      </c>
      <c r="H395" s="914"/>
      <c r="I395" s="914"/>
      <c r="J395" s="915"/>
      <c r="K395" s="915"/>
    </row>
    <row r="396" spans="2:11">
      <c r="B396" s="139"/>
      <c r="C396" s="948" t="s">
        <v>1054</v>
      </c>
      <c r="D396" s="945" t="s">
        <v>1759</v>
      </c>
      <c r="E396" s="947">
        <v>13231</v>
      </c>
      <c r="F396" s="947">
        <v>13174</v>
      </c>
      <c r="H396" s="914"/>
      <c r="I396" s="914"/>
      <c r="J396" s="915"/>
      <c r="K396" s="915"/>
    </row>
    <row r="397" spans="2:11">
      <c r="B397" s="139"/>
      <c r="C397" s="948" t="s">
        <v>1055</v>
      </c>
      <c r="D397" s="945" t="s">
        <v>1760</v>
      </c>
      <c r="E397" s="947">
        <v>15520</v>
      </c>
      <c r="F397" s="947">
        <v>16546</v>
      </c>
      <c r="H397" s="914"/>
      <c r="I397" s="914"/>
      <c r="J397" s="915"/>
      <c r="K397" s="915"/>
    </row>
    <row r="398" spans="2:11">
      <c r="B398" s="139"/>
      <c r="C398" s="948" t="s">
        <v>1056</v>
      </c>
      <c r="D398" s="945" t="s">
        <v>1761</v>
      </c>
      <c r="E398" s="947">
        <v>20270</v>
      </c>
      <c r="F398" s="947">
        <v>21111</v>
      </c>
      <c r="H398" s="914"/>
      <c r="I398" s="914"/>
      <c r="J398" s="915"/>
      <c r="K398" s="915"/>
    </row>
    <row r="399" spans="2:11">
      <c r="B399" s="139"/>
      <c r="C399" s="948" t="s">
        <v>1057</v>
      </c>
      <c r="D399" s="945" t="s">
        <v>1762</v>
      </c>
      <c r="E399" s="947">
        <v>16701</v>
      </c>
      <c r="F399" s="947">
        <v>16975</v>
      </c>
      <c r="H399" s="914"/>
      <c r="I399" s="914"/>
      <c r="J399" s="915"/>
      <c r="K399" s="915"/>
    </row>
    <row r="400" spans="2:11">
      <c r="B400" s="139"/>
      <c r="C400" s="948" t="s">
        <v>1058</v>
      </c>
      <c r="D400" s="945" t="s">
        <v>1763</v>
      </c>
      <c r="E400" s="947">
        <v>18589</v>
      </c>
      <c r="F400" s="947">
        <v>19022</v>
      </c>
      <c r="H400" s="914"/>
      <c r="I400" s="914"/>
      <c r="J400" s="915"/>
      <c r="K400" s="915"/>
    </row>
    <row r="401" spans="2:11">
      <c r="B401" s="139"/>
      <c r="C401" s="948" t="s">
        <v>1059</v>
      </c>
      <c r="D401" s="945" t="s">
        <v>1764</v>
      </c>
      <c r="E401" s="947">
        <v>19154</v>
      </c>
      <c r="F401" s="947">
        <v>20033</v>
      </c>
      <c r="H401" s="914"/>
      <c r="I401" s="914"/>
      <c r="J401" s="915"/>
      <c r="K401" s="915"/>
    </row>
    <row r="402" spans="2:11">
      <c r="B402" s="139"/>
      <c r="C402" s="948" t="s">
        <v>1060</v>
      </c>
      <c r="D402" s="945" t="s">
        <v>1765</v>
      </c>
      <c r="E402" s="947">
        <v>14923</v>
      </c>
      <c r="F402" s="947">
        <v>15456</v>
      </c>
      <c r="H402" s="914"/>
      <c r="I402" s="914"/>
      <c r="J402" s="915"/>
      <c r="K402" s="915"/>
    </row>
    <row r="403" spans="2:11">
      <c r="B403" s="139"/>
      <c r="C403" s="948" t="s">
        <v>1061</v>
      </c>
      <c r="D403" s="945" t="s">
        <v>1766</v>
      </c>
      <c r="E403" s="947">
        <v>12563</v>
      </c>
      <c r="F403" s="947">
        <v>12945</v>
      </c>
      <c r="H403" s="914"/>
      <c r="I403" s="914"/>
      <c r="J403" s="915"/>
      <c r="K403" s="915"/>
    </row>
    <row r="404" spans="2:11">
      <c r="B404" s="139"/>
      <c r="C404" s="948" t="s">
        <v>1062</v>
      </c>
      <c r="D404" s="945" t="s">
        <v>1767</v>
      </c>
      <c r="E404" s="947">
        <v>16763</v>
      </c>
      <c r="F404" s="947">
        <v>18211</v>
      </c>
      <c r="H404" s="914"/>
      <c r="I404" s="914"/>
      <c r="J404" s="915"/>
      <c r="K404" s="915"/>
    </row>
    <row r="405" spans="2:11">
      <c r="B405" s="139"/>
      <c r="C405" s="948" t="s">
        <v>1063</v>
      </c>
      <c r="D405" s="945" t="s">
        <v>1768</v>
      </c>
      <c r="E405" s="947">
        <v>17118</v>
      </c>
      <c r="F405" s="947">
        <v>17830</v>
      </c>
      <c r="H405" s="914"/>
      <c r="I405" s="914"/>
      <c r="J405" s="915"/>
      <c r="K405" s="915"/>
    </row>
    <row r="406" spans="2:11">
      <c r="B406" s="139"/>
      <c r="C406" s="948" t="s">
        <v>1064</v>
      </c>
      <c r="D406" s="945" t="s">
        <v>1769</v>
      </c>
      <c r="E406" s="947">
        <v>17004</v>
      </c>
      <c r="F406" s="947">
        <v>17754</v>
      </c>
      <c r="H406" s="914"/>
      <c r="I406" s="914"/>
      <c r="J406" s="915"/>
      <c r="K406" s="915"/>
    </row>
    <row r="407" spans="2:11">
      <c r="B407" s="139"/>
      <c r="C407" s="948" t="s">
        <v>1065</v>
      </c>
      <c r="D407" s="945" t="s">
        <v>1770</v>
      </c>
      <c r="E407" s="947">
        <v>18595</v>
      </c>
      <c r="F407" s="947">
        <v>19210</v>
      </c>
      <c r="H407" s="914"/>
      <c r="I407" s="914"/>
      <c r="J407" s="915"/>
      <c r="K407" s="915"/>
    </row>
    <row r="408" spans="2:11">
      <c r="B408" s="139"/>
      <c r="C408" s="948" t="s">
        <v>1066</v>
      </c>
      <c r="D408" s="945" t="s">
        <v>1771</v>
      </c>
      <c r="E408" s="947">
        <v>18495</v>
      </c>
      <c r="F408" s="947">
        <v>16166</v>
      </c>
      <c r="H408" s="914"/>
      <c r="I408" s="914"/>
      <c r="J408" s="915"/>
      <c r="K408" s="915"/>
    </row>
    <row r="409" spans="2:11">
      <c r="B409" s="139"/>
      <c r="C409" s="948" t="s">
        <v>1097</v>
      </c>
      <c r="D409" s="945" t="s">
        <v>1772</v>
      </c>
      <c r="E409" s="947">
        <v>18340</v>
      </c>
      <c r="F409" s="947">
        <v>19044</v>
      </c>
      <c r="H409" s="914"/>
      <c r="I409" s="914"/>
      <c r="J409" s="915"/>
      <c r="K409" s="915"/>
    </row>
    <row r="410" spans="2:11">
      <c r="B410" s="139"/>
      <c r="C410" s="948" t="s">
        <v>1095</v>
      </c>
      <c r="D410" s="945" t="s">
        <v>1773</v>
      </c>
      <c r="E410" s="947">
        <v>14057</v>
      </c>
      <c r="F410" s="947">
        <v>14425</v>
      </c>
      <c r="H410" s="914"/>
      <c r="I410" s="914"/>
      <c r="J410" s="915"/>
      <c r="K410" s="915"/>
    </row>
    <row r="411" spans="2:11">
      <c r="B411" s="139"/>
      <c r="C411" s="948" t="s">
        <v>1067</v>
      </c>
      <c r="D411" s="945" t="s">
        <v>1774</v>
      </c>
      <c r="E411" s="947">
        <v>13312</v>
      </c>
      <c r="F411" s="947">
        <v>13987</v>
      </c>
      <c r="H411" s="914"/>
      <c r="I411" s="914"/>
      <c r="J411" s="915"/>
      <c r="K411" s="915"/>
    </row>
    <row r="412" spans="2:11">
      <c r="B412" s="139"/>
      <c r="C412" s="948" t="s">
        <v>1068</v>
      </c>
      <c r="D412" s="945" t="s">
        <v>1775</v>
      </c>
      <c r="E412" s="947">
        <v>12060</v>
      </c>
      <c r="F412" s="947">
        <v>12557</v>
      </c>
      <c r="H412" s="914"/>
      <c r="I412" s="914"/>
      <c r="J412" s="915"/>
      <c r="K412" s="915"/>
    </row>
    <row r="413" spans="2:11">
      <c r="B413" s="139"/>
      <c r="C413" s="948" t="s">
        <v>1069</v>
      </c>
      <c r="D413" s="945" t="s">
        <v>1776</v>
      </c>
      <c r="E413" s="947">
        <v>18149</v>
      </c>
      <c r="F413" s="947">
        <v>18908</v>
      </c>
      <c r="H413" s="914"/>
      <c r="I413" s="914"/>
      <c r="J413" s="915"/>
      <c r="K413" s="915"/>
    </row>
    <row r="414" spans="2:11">
      <c r="B414" s="139"/>
      <c r="C414" s="948" t="s">
        <v>1070</v>
      </c>
      <c r="D414" s="945" t="s">
        <v>1777</v>
      </c>
      <c r="E414" s="947">
        <v>44320</v>
      </c>
      <c r="F414" s="947">
        <v>43655</v>
      </c>
      <c r="H414" s="914"/>
      <c r="I414" s="914"/>
      <c r="J414" s="915"/>
      <c r="K414" s="915"/>
    </row>
    <row r="415" spans="2:11">
      <c r="B415" s="139"/>
      <c r="C415" s="948" t="s">
        <v>1071</v>
      </c>
      <c r="D415" s="945" t="s">
        <v>1778</v>
      </c>
      <c r="E415" s="947">
        <v>11787</v>
      </c>
      <c r="F415" s="947">
        <v>12037</v>
      </c>
      <c r="H415" s="914"/>
      <c r="I415" s="914"/>
      <c r="J415" s="915"/>
      <c r="K415" s="915"/>
    </row>
    <row r="416" spans="2:11">
      <c r="B416" s="139"/>
      <c r="C416" s="948" t="s">
        <v>1072</v>
      </c>
      <c r="D416" s="945" t="s">
        <v>1779</v>
      </c>
      <c r="E416" s="947">
        <v>12782</v>
      </c>
      <c r="F416" s="947">
        <v>13059</v>
      </c>
      <c r="H416" s="914"/>
      <c r="I416" s="914"/>
      <c r="J416" s="915"/>
      <c r="K416" s="915"/>
    </row>
    <row r="417" spans="2:11">
      <c r="B417" s="139"/>
      <c r="C417" s="948" t="s">
        <v>1073</v>
      </c>
      <c r="D417" s="945" t="s">
        <v>1780</v>
      </c>
      <c r="E417" s="947">
        <v>12691</v>
      </c>
      <c r="F417" s="947">
        <v>13138</v>
      </c>
      <c r="H417" s="914"/>
      <c r="I417" s="914"/>
      <c r="J417" s="915"/>
      <c r="K417" s="915"/>
    </row>
    <row r="418" spans="2:11">
      <c r="B418" s="139"/>
      <c r="C418" s="948" t="s">
        <v>1074</v>
      </c>
      <c r="D418" s="945" t="s">
        <v>1781</v>
      </c>
      <c r="E418" s="947">
        <v>12059</v>
      </c>
      <c r="F418" s="947">
        <v>12411</v>
      </c>
      <c r="H418" s="914"/>
      <c r="I418" s="914"/>
      <c r="J418" s="915"/>
      <c r="K418" s="915"/>
    </row>
    <row r="419" spans="2:11">
      <c r="B419" s="139"/>
      <c r="C419" s="948" t="s">
        <v>1075</v>
      </c>
      <c r="D419" s="945" t="s">
        <v>1782</v>
      </c>
      <c r="E419" s="947">
        <v>13877</v>
      </c>
      <c r="F419" s="947">
        <v>14482</v>
      </c>
      <c r="H419" s="914"/>
      <c r="I419" s="914"/>
      <c r="J419" s="915"/>
      <c r="K419" s="915"/>
    </row>
    <row r="420" spans="2:11">
      <c r="B420" s="139"/>
      <c r="C420" s="948" t="s">
        <v>1076</v>
      </c>
      <c r="D420" s="945" t="s">
        <v>1783</v>
      </c>
      <c r="E420" s="947">
        <v>16899</v>
      </c>
      <c r="F420" s="947">
        <v>17354</v>
      </c>
      <c r="H420" s="914"/>
      <c r="I420" s="914"/>
      <c r="J420" s="915"/>
      <c r="K420" s="915"/>
    </row>
    <row r="421" spans="2:11">
      <c r="B421" s="139"/>
      <c r="C421" s="948" t="s">
        <v>1077</v>
      </c>
      <c r="D421" s="945" t="s">
        <v>1784</v>
      </c>
      <c r="E421" s="947">
        <v>17416</v>
      </c>
      <c r="F421" s="947">
        <v>17655</v>
      </c>
      <c r="H421" s="914"/>
      <c r="I421" s="914"/>
      <c r="J421" s="915"/>
      <c r="K421" s="915"/>
    </row>
    <row r="422" spans="2:11">
      <c r="B422" s="139"/>
      <c r="C422" s="948" t="s">
        <v>1078</v>
      </c>
      <c r="D422" s="945" t="s">
        <v>1785</v>
      </c>
      <c r="E422" s="947">
        <v>15290</v>
      </c>
      <c r="F422" s="947">
        <v>15750</v>
      </c>
      <c r="H422" s="914"/>
      <c r="I422" s="914"/>
      <c r="J422" s="915"/>
      <c r="K422" s="915"/>
    </row>
    <row r="423" spans="2:11">
      <c r="B423" s="139"/>
      <c r="C423" s="948" t="s">
        <v>1079</v>
      </c>
      <c r="D423" s="945" t="s">
        <v>1786</v>
      </c>
      <c r="E423" s="947">
        <v>13235</v>
      </c>
      <c r="F423" s="947">
        <v>13832</v>
      </c>
      <c r="H423" s="914"/>
      <c r="I423" s="914"/>
      <c r="J423" s="915"/>
      <c r="K423" s="915"/>
    </row>
    <row r="424" spans="2:11">
      <c r="B424" s="139"/>
      <c r="C424" s="948" t="s">
        <v>1080</v>
      </c>
      <c r="D424" s="945" t="s">
        <v>1787</v>
      </c>
      <c r="E424" s="947">
        <v>17451</v>
      </c>
      <c r="F424" s="947">
        <v>19542</v>
      </c>
      <c r="H424" s="914"/>
      <c r="I424" s="914"/>
      <c r="J424" s="915"/>
      <c r="K424" s="915"/>
    </row>
    <row r="425" spans="2:11">
      <c r="B425" s="139"/>
      <c r="C425" s="948" t="s">
        <v>1081</v>
      </c>
      <c r="D425" s="945" t="s">
        <v>1788</v>
      </c>
      <c r="E425" s="947">
        <v>19801</v>
      </c>
      <c r="F425" s="947">
        <v>20344</v>
      </c>
      <c r="H425" s="914"/>
      <c r="I425" s="914"/>
      <c r="J425" s="915"/>
      <c r="K425" s="915"/>
    </row>
    <row r="426" spans="2:11">
      <c r="B426" s="139"/>
      <c r="C426" s="948" t="s">
        <v>925</v>
      </c>
      <c r="D426" s="945" t="s">
        <v>1789</v>
      </c>
      <c r="E426" s="947">
        <v>18645</v>
      </c>
      <c r="F426" s="947">
        <v>18542</v>
      </c>
      <c r="H426" s="914"/>
      <c r="I426" s="914"/>
      <c r="J426" s="915"/>
      <c r="K426" s="915"/>
    </row>
    <row r="427" spans="2:11">
      <c r="B427" s="139"/>
      <c r="C427" s="948" t="s">
        <v>1082</v>
      </c>
      <c r="D427" s="945" t="s">
        <v>1790</v>
      </c>
      <c r="E427" s="947">
        <v>14020</v>
      </c>
      <c r="F427" s="947">
        <v>14016</v>
      </c>
      <c r="H427" s="914"/>
      <c r="I427" s="914"/>
      <c r="J427" s="915"/>
      <c r="K427" s="915"/>
    </row>
    <row r="428" spans="2:11">
      <c r="B428" s="139"/>
      <c r="C428" s="948" t="s">
        <v>1083</v>
      </c>
      <c r="D428" s="945" t="s">
        <v>1791</v>
      </c>
      <c r="E428" s="947">
        <v>22007</v>
      </c>
      <c r="F428" s="947">
        <v>22564</v>
      </c>
      <c r="H428" s="914"/>
      <c r="I428" s="914"/>
      <c r="J428" s="915"/>
      <c r="K428" s="915"/>
    </row>
    <row r="429" spans="2:11">
      <c r="B429" s="139"/>
      <c r="C429" s="948" t="s">
        <v>1084</v>
      </c>
      <c r="D429" s="945" t="s">
        <v>1792</v>
      </c>
      <c r="E429" s="947">
        <v>26500</v>
      </c>
      <c r="F429" s="947">
        <v>26561</v>
      </c>
      <c r="H429" s="914"/>
      <c r="I429" s="914"/>
      <c r="J429" s="915"/>
      <c r="K429" s="915"/>
    </row>
    <row r="430" spans="2:11">
      <c r="B430" s="139"/>
      <c r="C430" s="948" t="s">
        <v>1085</v>
      </c>
      <c r="D430" s="945" t="s">
        <v>1793</v>
      </c>
      <c r="E430" s="947">
        <v>13189</v>
      </c>
      <c r="F430" s="947">
        <v>13620</v>
      </c>
      <c r="H430" s="914"/>
      <c r="I430" s="914"/>
      <c r="J430" s="915"/>
      <c r="K430" s="915"/>
    </row>
    <row r="431" spans="2:11">
      <c r="B431" s="139"/>
      <c r="C431" s="948" t="s">
        <v>1086</v>
      </c>
      <c r="D431" s="945" t="s">
        <v>1794</v>
      </c>
      <c r="E431" s="947">
        <v>12142</v>
      </c>
      <c r="F431" s="947">
        <v>11945</v>
      </c>
      <c r="H431" s="914"/>
      <c r="I431" s="914"/>
      <c r="J431" s="915"/>
      <c r="K431" s="915"/>
    </row>
    <row r="432" spans="2:11">
      <c r="B432" s="139"/>
      <c r="C432" s="948" t="s">
        <v>1087</v>
      </c>
      <c r="D432" s="945" t="s">
        <v>1795</v>
      </c>
      <c r="E432" s="947">
        <v>16566</v>
      </c>
      <c r="F432" s="947">
        <v>18716</v>
      </c>
      <c r="H432" s="914"/>
      <c r="I432" s="914"/>
      <c r="J432" s="915"/>
      <c r="K432" s="915"/>
    </row>
    <row r="433" spans="2:11">
      <c r="B433" s="139"/>
      <c r="C433" s="948" t="s">
        <v>1089</v>
      </c>
      <c r="D433" s="945" t="s">
        <v>1796</v>
      </c>
      <c r="E433" s="947">
        <v>13658</v>
      </c>
      <c r="F433" s="947">
        <v>14088</v>
      </c>
      <c r="H433" s="914"/>
      <c r="I433" s="914"/>
      <c r="J433" s="915"/>
      <c r="K433" s="915"/>
    </row>
    <row r="434" spans="2:11">
      <c r="B434" s="139"/>
      <c r="C434" s="948" t="s">
        <v>1090</v>
      </c>
      <c r="D434" s="945" t="s">
        <v>1797</v>
      </c>
      <c r="E434" s="947">
        <v>14780</v>
      </c>
      <c r="F434" s="947">
        <v>15317</v>
      </c>
      <c r="H434" s="914"/>
      <c r="I434" s="914"/>
      <c r="J434" s="915"/>
      <c r="K434" s="915"/>
    </row>
    <row r="435" spans="2:11">
      <c r="B435" s="139"/>
      <c r="C435" s="948" t="s">
        <v>1091</v>
      </c>
      <c r="D435" s="945" t="s">
        <v>1798</v>
      </c>
      <c r="E435" s="947">
        <v>19576</v>
      </c>
      <c r="F435" s="947">
        <v>19893</v>
      </c>
      <c r="H435" s="914"/>
      <c r="I435" s="914"/>
      <c r="J435" s="915"/>
      <c r="K435" s="915"/>
    </row>
    <row r="436" spans="2:11">
      <c r="B436" s="139"/>
      <c r="C436" s="948" t="s">
        <v>1092</v>
      </c>
      <c r="D436" s="945" t="s">
        <v>1799</v>
      </c>
      <c r="E436" s="947">
        <v>16742</v>
      </c>
      <c r="F436" s="947">
        <v>17646</v>
      </c>
      <c r="H436" s="914"/>
      <c r="I436" s="914"/>
      <c r="J436" s="915"/>
      <c r="K436" s="915"/>
    </row>
    <row r="437" spans="2:11">
      <c r="B437" s="139"/>
      <c r="C437" s="948" t="s">
        <v>1093</v>
      </c>
      <c r="D437" s="945" t="s">
        <v>1800</v>
      </c>
      <c r="E437" s="947">
        <v>11315</v>
      </c>
      <c r="F437" s="947">
        <v>12341</v>
      </c>
      <c r="H437" s="914"/>
      <c r="I437" s="914"/>
      <c r="J437" s="915"/>
      <c r="K437" s="915"/>
    </row>
    <row r="438" spans="2:11">
      <c r="B438" s="139"/>
      <c r="C438" s="948" t="s">
        <v>1094</v>
      </c>
      <c r="D438" s="945" t="s">
        <v>1801</v>
      </c>
      <c r="E438" s="947">
        <v>13121</v>
      </c>
      <c r="F438" s="947">
        <v>13293</v>
      </c>
      <c r="H438" s="914"/>
      <c r="I438" s="914"/>
      <c r="J438" s="915"/>
      <c r="K438" s="915"/>
    </row>
    <row r="439" spans="2:11">
      <c r="B439" s="139"/>
      <c r="C439" s="948" t="s">
        <v>1096</v>
      </c>
      <c r="D439" s="945" t="s">
        <v>1802</v>
      </c>
      <c r="E439" s="947">
        <v>20548</v>
      </c>
      <c r="F439" s="947">
        <v>20636</v>
      </c>
      <c r="H439" s="914"/>
      <c r="I439" s="914"/>
      <c r="J439" s="915"/>
      <c r="K439" s="915"/>
    </row>
    <row r="440" spans="2:11">
      <c r="B440" s="139"/>
      <c r="C440" s="948" t="s">
        <v>1098</v>
      </c>
      <c r="D440" s="945" t="s">
        <v>1803</v>
      </c>
      <c r="E440" s="947">
        <v>13727</v>
      </c>
      <c r="F440" s="947">
        <v>14595</v>
      </c>
      <c r="H440" s="914"/>
      <c r="I440" s="914"/>
      <c r="J440" s="915"/>
      <c r="K440" s="915"/>
    </row>
    <row r="441" spans="2:11">
      <c r="B441" s="139"/>
      <c r="C441" s="948" t="s">
        <v>1099</v>
      </c>
      <c r="D441" s="945" t="s">
        <v>1804</v>
      </c>
      <c r="E441" s="947">
        <v>16329</v>
      </c>
      <c r="F441" s="947">
        <v>16554</v>
      </c>
      <c r="H441" s="914"/>
      <c r="I441" s="914"/>
      <c r="J441" s="915"/>
      <c r="K441" s="915"/>
    </row>
    <row r="442" spans="2:11">
      <c r="B442" s="139"/>
      <c r="C442" s="948" t="s">
        <v>1100</v>
      </c>
      <c r="D442" s="945" t="s">
        <v>1805</v>
      </c>
      <c r="E442" s="947">
        <v>11644</v>
      </c>
      <c r="F442" s="947">
        <v>10910</v>
      </c>
      <c r="H442" s="914"/>
      <c r="I442" s="914"/>
      <c r="J442" s="915"/>
      <c r="K442" s="915"/>
    </row>
    <row r="443" spans="2:11">
      <c r="B443" s="139"/>
      <c r="C443" s="948" t="s">
        <v>1101</v>
      </c>
      <c r="D443" s="945" t="s">
        <v>1806</v>
      </c>
      <c r="E443" s="947">
        <v>14939</v>
      </c>
      <c r="F443" s="947">
        <v>15937</v>
      </c>
      <c r="H443" s="914"/>
      <c r="I443" s="914"/>
      <c r="J443" s="915"/>
      <c r="K443" s="915"/>
    </row>
    <row r="444" spans="2:11">
      <c r="B444" s="139"/>
      <c r="C444" s="948" t="s">
        <v>1102</v>
      </c>
      <c r="D444" s="945" t="s">
        <v>1807</v>
      </c>
      <c r="E444" s="947">
        <v>13076</v>
      </c>
      <c r="F444" s="947">
        <v>13623</v>
      </c>
      <c r="H444" s="914"/>
      <c r="I444" s="914"/>
      <c r="J444" s="915"/>
      <c r="K444" s="915"/>
    </row>
    <row r="445" spans="2:11">
      <c r="B445" s="139"/>
      <c r="C445" s="948" t="s">
        <v>1103</v>
      </c>
      <c r="D445" s="945" t="s">
        <v>1808</v>
      </c>
      <c r="E445" s="947">
        <v>13312</v>
      </c>
      <c r="F445" s="947">
        <v>14024</v>
      </c>
      <c r="H445" s="914"/>
      <c r="I445" s="914"/>
      <c r="J445" s="915"/>
      <c r="K445" s="915"/>
    </row>
    <row r="446" spans="2:11">
      <c r="B446" s="139"/>
      <c r="C446" s="948" t="s">
        <v>1104</v>
      </c>
      <c r="D446" s="945" t="s">
        <v>1809</v>
      </c>
      <c r="E446" s="947">
        <v>14182</v>
      </c>
      <c r="F446" s="947">
        <v>14440</v>
      </c>
      <c r="H446" s="914"/>
      <c r="I446" s="914"/>
      <c r="J446" s="915"/>
      <c r="K446" s="915"/>
    </row>
    <row r="447" spans="2:11">
      <c r="B447" s="139"/>
      <c r="C447" s="948" t="s">
        <v>1105</v>
      </c>
      <c r="D447" s="945" t="s">
        <v>1810</v>
      </c>
      <c r="E447" s="947">
        <v>14786</v>
      </c>
      <c r="F447" s="947">
        <v>14921</v>
      </c>
      <c r="H447" s="914"/>
      <c r="I447" s="914"/>
      <c r="J447" s="915"/>
      <c r="K447" s="915"/>
    </row>
    <row r="448" spans="2:11">
      <c r="B448" s="139"/>
      <c r="C448" s="948" t="s">
        <v>1106</v>
      </c>
      <c r="D448" s="945" t="s">
        <v>1811</v>
      </c>
      <c r="E448" s="947">
        <v>20596</v>
      </c>
      <c r="F448" s="947">
        <v>20915</v>
      </c>
      <c r="H448" s="914"/>
      <c r="I448" s="914"/>
      <c r="J448" s="915"/>
      <c r="K448" s="915"/>
    </row>
    <row r="449" spans="2:11">
      <c r="B449" s="139"/>
      <c r="C449" s="948" t="s">
        <v>1107</v>
      </c>
      <c r="D449" s="945" t="s">
        <v>1812</v>
      </c>
      <c r="E449" s="947">
        <v>13185</v>
      </c>
      <c r="F449" s="947">
        <v>13403</v>
      </c>
      <c r="H449" s="914"/>
      <c r="I449" s="914"/>
      <c r="J449" s="915"/>
      <c r="K449" s="915"/>
    </row>
    <row r="450" spans="2:11">
      <c r="B450" s="139"/>
      <c r="C450" s="948" t="s">
        <v>1108</v>
      </c>
      <c r="D450" s="945" t="s">
        <v>1813</v>
      </c>
      <c r="E450" s="947">
        <v>12567</v>
      </c>
      <c r="F450" s="947">
        <v>12876</v>
      </c>
      <c r="H450" s="914"/>
      <c r="I450" s="914"/>
      <c r="J450" s="915"/>
      <c r="K450" s="915"/>
    </row>
    <row r="451" spans="2:11">
      <c r="B451" s="139"/>
      <c r="C451" s="948" t="s">
        <v>1109</v>
      </c>
      <c r="D451" s="945" t="s">
        <v>1814</v>
      </c>
      <c r="E451" s="947">
        <v>13279</v>
      </c>
      <c r="F451" s="947">
        <v>13700</v>
      </c>
      <c r="H451" s="914"/>
      <c r="I451" s="914"/>
      <c r="J451" s="915"/>
      <c r="K451" s="915"/>
    </row>
    <row r="452" spans="2:11">
      <c r="B452" s="139"/>
      <c r="C452" s="948" t="s">
        <v>1110</v>
      </c>
      <c r="D452" s="945" t="s">
        <v>1815</v>
      </c>
      <c r="E452" s="947">
        <v>21185</v>
      </c>
      <c r="F452" s="947">
        <v>22492</v>
      </c>
      <c r="H452" s="914"/>
      <c r="I452" s="914"/>
      <c r="J452" s="915"/>
      <c r="K452" s="915"/>
    </row>
    <row r="453" spans="2:11">
      <c r="B453" s="139"/>
      <c r="C453" s="948" t="s">
        <v>1111</v>
      </c>
      <c r="D453" s="945" t="s">
        <v>1816</v>
      </c>
      <c r="E453" s="947">
        <v>13558</v>
      </c>
      <c r="F453" s="947">
        <v>14279</v>
      </c>
      <c r="H453" s="914"/>
      <c r="I453" s="914"/>
      <c r="J453" s="915"/>
      <c r="K453" s="915"/>
    </row>
    <row r="454" spans="2:11">
      <c r="B454" s="139"/>
      <c r="C454" s="948" t="s">
        <v>883</v>
      </c>
      <c r="D454" s="945" t="s">
        <v>1817</v>
      </c>
      <c r="E454" s="947">
        <v>16062</v>
      </c>
      <c r="F454" s="947">
        <v>16785</v>
      </c>
      <c r="H454" s="914"/>
      <c r="I454" s="914"/>
      <c r="J454" s="915"/>
      <c r="K454" s="915"/>
    </row>
    <row r="455" spans="2:11">
      <c r="B455" s="139"/>
      <c r="C455" s="948" t="s">
        <v>1113</v>
      </c>
      <c r="D455" s="945" t="s">
        <v>1818</v>
      </c>
      <c r="E455" s="947">
        <v>13864</v>
      </c>
      <c r="F455" s="947">
        <v>14625</v>
      </c>
      <c r="H455" s="914"/>
      <c r="I455" s="914"/>
      <c r="J455" s="915"/>
      <c r="K455" s="915"/>
    </row>
    <row r="456" spans="2:11">
      <c r="B456" s="139"/>
      <c r="C456" s="948" t="s">
        <v>1280</v>
      </c>
      <c r="D456" s="945" t="s">
        <v>1819</v>
      </c>
      <c r="E456" s="947">
        <v>13599</v>
      </c>
      <c r="F456" s="947">
        <v>13894</v>
      </c>
      <c r="H456" s="914"/>
      <c r="I456" s="914"/>
      <c r="J456" s="915"/>
      <c r="K456" s="915"/>
    </row>
    <row r="457" spans="2:11">
      <c r="B457" s="139"/>
      <c r="C457" s="948" t="s">
        <v>1114</v>
      </c>
      <c r="D457" s="945" t="s">
        <v>1820</v>
      </c>
      <c r="E457" s="947">
        <v>13670</v>
      </c>
      <c r="F457" s="947">
        <v>14170</v>
      </c>
      <c r="H457" s="914"/>
      <c r="I457" s="914"/>
      <c r="J457" s="915"/>
      <c r="K457" s="915"/>
    </row>
    <row r="458" spans="2:11">
      <c r="B458" s="139"/>
      <c r="C458" s="948" t="s">
        <v>1115</v>
      </c>
      <c r="D458" s="945" t="s">
        <v>1821</v>
      </c>
      <c r="E458" s="947">
        <v>25087</v>
      </c>
      <c r="F458" s="947">
        <v>25408</v>
      </c>
      <c r="H458" s="914"/>
      <c r="I458" s="914"/>
      <c r="J458" s="915"/>
      <c r="K458" s="915"/>
    </row>
    <row r="459" spans="2:11">
      <c r="B459" s="139"/>
      <c r="C459" s="948" t="s">
        <v>1116</v>
      </c>
      <c r="D459" s="945" t="s">
        <v>1822</v>
      </c>
      <c r="E459" s="947">
        <v>36838</v>
      </c>
      <c r="F459" s="947">
        <v>37729</v>
      </c>
      <c r="H459" s="914"/>
      <c r="I459" s="914"/>
      <c r="J459" s="915"/>
      <c r="K459" s="915"/>
    </row>
    <row r="460" spans="2:11">
      <c r="B460" s="139"/>
      <c r="C460" s="948" t="s">
        <v>1117</v>
      </c>
      <c r="D460" s="945" t="s">
        <v>1823</v>
      </c>
      <c r="E460" s="947">
        <v>11844</v>
      </c>
      <c r="F460" s="947">
        <v>12055</v>
      </c>
      <c r="H460" s="914"/>
      <c r="I460" s="914"/>
      <c r="J460" s="915"/>
      <c r="K460" s="915"/>
    </row>
    <row r="461" spans="2:11">
      <c r="B461" s="139"/>
      <c r="C461" s="948" t="s">
        <v>1118</v>
      </c>
      <c r="D461" s="945" t="s">
        <v>1824</v>
      </c>
      <c r="E461" s="947">
        <v>13050</v>
      </c>
      <c r="F461" s="947">
        <v>13016</v>
      </c>
      <c r="H461" s="914"/>
      <c r="I461" s="914"/>
      <c r="J461" s="915"/>
      <c r="K461" s="915"/>
    </row>
    <row r="462" spans="2:11">
      <c r="B462" s="139"/>
      <c r="C462" s="948" t="s">
        <v>1119</v>
      </c>
      <c r="D462" s="945" t="s">
        <v>1825</v>
      </c>
      <c r="E462" s="947">
        <v>13015</v>
      </c>
      <c r="F462" s="947">
        <v>13072</v>
      </c>
      <c r="H462" s="914"/>
      <c r="I462" s="914"/>
      <c r="J462" s="915"/>
      <c r="K462" s="915"/>
    </row>
    <row r="463" spans="2:11">
      <c r="B463" s="139"/>
      <c r="C463" s="948" t="s">
        <v>1120</v>
      </c>
      <c r="D463" s="945" t="s">
        <v>1826</v>
      </c>
      <c r="E463" s="947">
        <v>15532</v>
      </c>
      <c r="F463" s="947">
        <v>16225</v>
      </c>
      <c r="H463" s="914"/>
      <c r="I463" s="914"/>
      <c r="J463" s="915"/>
      <c r="K463" s="915"/>
    </row>
    <row r="464" spans="2:11">
      <c r="B464" s="139"/>
      <c r="C464" s="948" t="s">
        <v>1121</v>
      </c>
      <c r="D464" s="945" t="s">
        <v>1827</v>
      </c>
      <c r="E464" s="947">
        <v>13338</v>
      </c>
      <c r="F464" s="947">
        <v>13534</v>
      </c>
      <c r="H464" s="914"/>
      <c r="I464" s="914"/>
      <c r="J464" s="915"/>
      <c r="K464" s="915"/>
    </row>
    <row r="465" spans="2:11">
      <c r="B465" s="139"/>
      <c r="C465" s="948" t="s">
        <v>1122</v>
      </c>
      <c r="D465" s="945" t="s">
        <v>1828</v>
      </c>
      <c r="E465" s="947">
        <v>17315</v>
      </c>
      <c r="F465" s="947">
        <v>17980</v>
      </c>
      <c r="H465" s="914"/>
      <c r="I465" s="914"/>
      <c r="J465" s="915"/>
      <c r="K465" s="915"/>
    </row>
    <row r="466" spans="2:11">
      <c r="B466" s="139"/>
      <c r="C466" s="948" t="s">
        <v>1123</v>
      </c>
      <c r="D466" s="945" t="s">
        <v>1829</v>
      </c>
      <c r="E466" s="947">
        <v>17457</v>
      </c>
      <c r="F466" s="947">
        <v>17857</v>
      </c>
      <c r="H466" s="914"/>
      <c r="I466" s="914"/>
      <c r="J466" s="915"/>
      <c r="K466" s="915"/>
    </row>
    <row r="467" spans="2:11">
      <c r="B467" s="139"/>
      <c r="C467" s="948" t="s">
        <v>1124</v>
      </c>
      <c r="D467" s="945" t="s">
        <v>1830</v>
      </c>
      <c r="E467" s="947">
        <v>19292</v>
      </c>
      <c r="F467" s="947">
        <v>20056</v>
      </c>
      <c r="H467" s="914"/>
      <c r="I467" s="914"/>
      <c r="J467" s="915"/>
      <c r="K467" s="915"/>
    </row>
    <row r="468" spans="2:11">
      <c r="B468" s="139"/>
      <c r="C468" s="948" t="s">
        <v>1125</v>
      </c>
      <c r="D468" s="945" t="s">
        <v>1831</v>
      </c>
      <c r="E468" s="947">
        <v>17441</v>
      </c>
      <c r="F468" s="947">
        <v>17844</v>
      </c>
      <c r="H468" s="914"/>
      <c r="I468" s="914"/>
      <c r="J468" s="915"/>
      <c r="K468" s="915"/>
    </row>
    <row r="469" spans="2:11">
      <c r="B469" s="139"/>
      <c r="C469" s="948" t="s">
        <v>1126</v>
      </c>
      <c r="D469" s="945" t="s">
        <v>1832</v>
      </c>
      <c r="E469" s="947">
        <v>14292</v>
      </c>
      <c r="F469" s="947">
        <v>14864</v>
      </c>
      <c r="H469" s="914"/>
      <c r="I469" s="914"/>
      <c r="J469" s="915"/>
      <c r="K469" s="915"/>
    </row>
    <row r="470" spans="2:11">
      <c r="B470" s="139"/>
      <c r="C470" s="948" t="s">
        <v>1127</v>
      </c>
      <c r="D470" s="945" t="s">
        <v>1833</v>
      </c>
      <c r="E470" s="947">
        <v>14208</v>
      </c>
      <c r="F470" s="947">
        <v>14721</v>
      </c>
      <c r="H470" s="914"/>
      <c r="I470" s="914"/>
      <c r="J470" s="915"/>
      <c r="K470" s="915"/>
    </row>
    <row r="471" spans="2:11">
      <c r="B471" s="139"/>
      <c r="C471" s="948" t="s">
        <v>1128</v>
      </c>
      <c r="D471" s="945" t="s">
        <v>1834</v>
      </c>
      <c r="E471" s="947">
        <v>12888</v>
      </c>
      <c r="F471" s="947">
        <v>13237</v>
      </c>
      <c r="H471" s="914"/>
      <c r="I471" s="914"/>
      <c r="J471" s="915"/>
      <c r="K471" s="915"/>
    </row>
    <row r="472" spans="2:11">
      <c r="B472" s="139"/>
      <c r="C472" s="948" t="s">
        <v>1129</v>
      </c>
      <c r="D472" s="945" t="s">
        <v>1835</v>
      </c>
      <c r="E472" s="947">
        <v>13883</v>
      </c>
      <c r="F472" s="947">
        <v>14313</v>
      </c>
      <c r="H472" s="914"/>
      <c r="I472" s="914"/>
      <c r="J472" s="915"/>
      <c r="K472" s="915"/>
    </row>
    <row r="473" spans="2:11">
      <c r="B473" s="139"/>
      <c r="C473" s="948" t="s">
        <v>1130</v>
      </c>
      <c r="D473" s="945" t="s">
        <v>1836</v>
      </c>
      <c r="E473" s="947">
        <v>14333</v>
      </c>
      <c r="F473" s="947">
        <v>14270</v>
      </c>
      <c r="H473" s="914"/>
      <c r="I473" s="914"/>
      <c r="J473" s="915"/>
      <c r="K473" s="915"/>
    </row>
    <row r="474" spans="2:11">
      <c r="B474" s="139"/>
      <c r="C474" s="948" t="s">
        <v>1131</v>
      </c>
      <c r="D474" s="945" t="s">
        <v>1837</v>
      </c>
      <c r="E474" s="947">
        <v>13460</v>
      </c>
      <c r="F474" s="947">
        <v>13597</v>
      </c>
      <c r="H474" s="914"/>
      <c r="I474" s="914"/>
      <c r="J474" s="915"/>
      <c r="K474" s="915"/>
    </row>
    <row r="475" spans="2:11">
      <c r="B475" s="139"/>
      <c r="C475" s="948" t="s">
        <v>1132</v>
      </c>
      <c r="D475" s="945" t="s">
        <v>1838</v>
      </c>
      <c r="E475" s="947">
        <v>13230</v>
      </c>
      <c r="F475" s="947">
        <v>13336</v>
      </c>
      <c r="H475" s="914"/>
      <c r="I475" s="914"/>
      <c r="J475" s="915"/>
      <c r="K475" s="915"/>
    </row>
    <row r="476" spans="2:11">
      <c r="B476" s="139"/>
      <c r="C476" s="948" t="s">
        <v>1133</v>
      </c>
      <c r="D476" s="945" t="s">
        <v>1839</v>
      </c>
      <c r="E476" s="947">
        <v>13392</v>
      </c>
      <c r="F476" s="947">
        <v>13612</v>
      </c>
      <c r="H476" s="914"/>
      <c r="I476" s="914"/>
      <c r="J476" s="915"/>
      <c r="K476" s="915"/>
    </row>
    <row r="477" spans="2:11">
      <c r="B477" s="139"/>
      <c r="C477" s="948" t="s">
        <v>1134</v>
      </c>
      <c r="D477" s="945" t="s">
        <v>1840</v>
      </c>
      <c r="E477" s="947">
        <v>16980</v>
      </c>
      <c r="F477" s="947">
        <v>17511</v>
      </c>
      <c r="H477" s="914"/>
      <c r="I477" s="914"/>
      <c r="J477" s="915"/>
      <c r="K477" s="915"/>
    </row>
    <row r="478" spans="2:11">
      <c r="B478" s="139"/>
      <c r="C478" s="948" t="s">
        <v>1135</v>
      </c>
      <c r="D478" s="945" t="s">
        <v>1841</v>
      </c>
      <c r="E478" s="947">
        <v>18916</v>
      </c>
      <c r="F478" s="947">
        <v>21969</v>
      </c>
      <c r="H478" s="914"/>
      <c r="I478" s="914"/>
      <c r="J478" s="915"/>
      <c r="K478" s="915"/>
    </row>
    <row r="479" spans="2:11">
      <c r="B479" s="139"/>
      <c r="C479" s="948" t="s">
        <v>1339</v>
      </c>
      <c r="D479" s="945" t="s">
        <v>1842</v>
      </c>
      <c r="E479" s="947">
        <v>11715</v>
      </c>
      <c r="F479" s="947">
        <v>12095</v>
      </c>
      <c r="H479" s="914"/>
      <c r="I479" s="914"/>
      <c r="J479" s="915"/>
      <c r="K479" s="915"/>
    </row>
    <row r="480" spans="2:11">
      <c r="B480" s="139"/>
      <c r="C480" s="948" t="s">
        <v>1136</v>
      </c>
      <c r="D480" s="945" t="s">
        <v>1843</v>
      </c>
      <c r="E480" s="947">
        <v>15137</v>
      </c>
      <c r="F480" s="947">
        <v>15626</v>
      </c>
      <c r="H480" s="914"/>
      <c r="I480" s="914"/>
      <c r="J480" s="915"/>
      <c r="K480" s="915"/>
    </row>
    <row r="481" spans="2:11">
      <c r="B481" s="139"/>
      <c r="C481" s="948" t="s">
        <v>1137</v>
      </c>
      <c r="D481" s="945" t="s">
        <v>1844</v>
      </c>
      <c r="E481" s="947">
        <v>17041</v>
      </c>
      <c r="F481" s="947">
        <v>17457</v>
      </c>
      <c r="H481" s="914"/>
      <c r="I481" s="914"/>
      <c r="J481" s="915"/>
      <c r="K481" s="915"/>
    </row>
    <row r="482" spans="2:11">
      <c r="B482" s="139"/>
      <c r="C482" s="948" t="s">
        <v>1138</v>
      </c>
      <c r="D482" s="945" t="s">
        <v>1845</v>
      </c>
      <c r="E482" s="947">
        <v>19684</v>
      </c>
      <c r="F482" s="947">
        <v>20428</v>
      </c>
      <c r="H482" s="914"/>
      <c r="I482" s="914"/>
      <c r="J482" s="915"/>
      <c r="K482" s="915"/>
    </row>
    <row r="483" spans="2:11">
      <c r="B483" s="139"/>
      <c r="C483" s="948" t="s">
        <v>1139</v>
      </c>
      <c r="D483" s="945" t="s">
        <v>1846</v>
      </c>
      <c r="E483" s="947">
        <v>15604</v>
      </c>
      <c r="F483" s="947">
        <v>16262</v>
      </c>
      <c r="H483" s="914"/>
      <c r="I483" s="914"/>
      <c r="J483" s="915"/>
      <c r="K483" s="915"/>
    </row>
    <row r="484" spans="2:11">
      <c r="B484" s="139"/>
      <c r="C484" s="948" t="s">
        <v>1140</v>
      </c>
      <c r="D484" s="945" t="s">
        <v>1847</v>
      </c>
      <c r="E484" s="947">
        <v>17595</v>
      </c>
      <c r="F484" s="947">
        <v>18001</v>
      </c>
      <c r="H484" s="914"/>
      <c r="I484" s="914"/>
      <c r="J484" s="915"/>
      <c r="K484" s="915"/>
    </row>
    <row r="485" spans="2:11">
      <c r="B485" s="139"/>
      <c r="C485" s="948" t="s">
        <v>1141</v>
      </c>
      <c r="D485" s="945" t="s">
        <v>1848</v>
      </c>
      <c r="E485" s="947">
        <v>41070</v>
      </c>
      <c r="F485" s="947">
        <v>44573</v>
      </c>
      <c r="H485" s="914"/>
      <c r="I485" s="914"/>
      <c r="J485" s="915"/>
      <c r="K485" s="915"/>
    </row>
    <row r="486" spans="2:11">
      <c r="B486" s="139"/>
      <c r="C486" s="948" t="s">
        <v>1142</v>
      </c>
      <c r="D486" s="945" t="s">
        <v>1849</v>
      </c>
      <c r="E486" s="947">
        <v>13082</v>
      </c>
      <c r="F486" s="947">
        <v>13516</v>
      </c>
      <c r="H486" s="914"/>
      <c r="I486" s="914"/>
      <c r="J486" s="915"/>
      <c r="K486" s="915"/>
    </row>
    <row r="487" spans="2:11">
      <c r="B487" s="139"/>
      <c r="C487" s="948" t="s">
        <v>1143</v>
      </c>
      <c r="D487" s="945" t="s">
        <v>1850</v>
      </c>
      <c r="E487" s="947">
        <v>12392</v>
      </c>
      <c r="F487" s="947">
        <v>12753</v>
      </c>
      <c r="H487" s="914"/>
      <c r="I487" s="914"/>
      <c r="J487" s="915"/>
      <c r="K487" s="915"/>
    </row>
    <row r="488" spans="2:11">
      <c r="B488" s="139"/>
      <c r="C488" s="948" t="s">
        <v>1144</v>
      </c>
      <c r="D488" s="945" t="s">
        <v>1851</v>
      </c>
      <c r="E488" s="947">
        <v>16661</v>
      </c>
      <c r="F488" s="947">
        <v>17942</v>
      </c>
      <c r="H488" s="914"/>
      <c r="I488" s="914"/>
      <c r="J488" s="915"/>
      <c r="K488" s="915"/>
    </row>
    <row r="489" spans="2:11">
      <c r="B489" s="139"/>
      <c r="C489" s="948" t="s">
        <v>1145</v>
      </c>
      <c r="D489" s="945" t="s">
        <v>1852</v>
      </c>
      <c r="E489" s="947">
        <v>23536</v>
      </c>
      <c r="F489" s="947">
        <v>23602</v>
      </c>
      <c r="H489" s="914"/>
      <c r="I489" s="914"/>
      <c r="J489" s="915"/>
      <c r="K489" s="915"/>
    </row>
    <row r="490" spans="2:11">
      <c r="B490" s="139"/>
      <c r="C490" s="948" t="s">
        <v>1146</v>
      </c>
      <c r="D490" s="945" t="s">
        <v>1853</v>
      </c>
      <c r="E490" s="947">
        <v>13564</v>
      </c>
      <c r="F490" s="947">
        <v>13649</v>
      </c>
      <c r="H490" s="914"/>
      <c r="I490" s="914"/>
      <c r="J490" s="915"/>
      <c r="K490" s="915"/>
    </row>
    <row r="491" spans="2:11">
      <c r="B491" s="139"/>
      <c r="C491" s="948" t="s">
        <v>1147</v>
      </c>
      <c r="D491" s="945" t="s">
        <v>1854</v>
      </c>
      <c r="E491" s="947">
        <v>23895</v>
      </c>
      <c r="F491" s="947">
        <v>24786</v>
      </c>
      <c r="H491" s="914"/>
      <c r="I491" s="914"/>
      <c r="J491" s="915"/>
      <c r="K491" s="915"/>
    </row>
    <row r="492" spans="2:11">
      <c r="B492" s="139"/>
      <c r="C492" s="948" t="s">
        <v>1148</v>
      </c>
      <c r="D492" s="945" t="s">
        <v>1855</v>
      </c>
      <c r="E492" s="947">
        <v>12327</v>
      </c>
      <c r="F492" s="947">
        <v>12650</v>
      </c>
      <c r="H492" s="914"/>
      <c r="I492" s="914"/>
      <c r="J492" s="915"/>
      <c r="K492" s="915"/>
    </row>
    <row r="493" spans="2:11">
      <c r="B493" s="139"/>
      <c r="C493" s="948" t="s">
        <v>1149</v>
      </c>
      <c r="D493" s="945" t="s">
        <v>1856</v>
      </c>
      <c r="E493" s="947">
        <v>14232</v>
      </c>
      <c r="F493" s="947">
        <v>14781</v>
      </c>
      <c r="H493" s="914"/>
      <c r="I493" s="914"/>
      <c r="J493" s="915"/>
      <c r="K493" s="915"/>
    </row>
    <row r="494" spans="2:11">
      <c r="B494" s="139"/>
      <c r="C494" s="948" t="s">
        <v>1150</v>
      </c>
      <c r="D494" s="945" t="s">
        <v>1857</v>
      </c>
      <c r="E494" s="947">
        <v>15993</v>
      </c>
      <c r="F494" s="947">
        <v>17097</v>
      </c>
      <c r="H494" s="914"/>
      <c r="I494" s="914"/>
      <c r="J494" s="915"/>
      <c r="K494" s="915"/>
    </row>
    <row r="495" spans="2:11">
      <c r="B495" s="139"/>
      <c r="C495" s="948" t="s">
        <v>1151</v>
      </c>
      <c r="D495" s="945" t="s">
        <v>1858</v>
      </c>
      <c r="E495" s="947">
        <v>12965</v>
      </c>
      <c r="F495" s="947">
        <v>14131</v>
      </c>
      <c r="H495" s="914"/>
      <c r="I495" s="914"/>
      <c r="J495" s="915"/>
      <c r="K495" s="915"/>
    </row>
    <row r="496" spans="2:11">
      <c r="B496" s="139"/>
      <c r="C496" s="948" t="s">
        <v>1152</v>
      </c>
      <c r="D496" s="945" t="s">
        <v>1859</v>
      </c>
      <c r="E496" s="947">
        <v>14245</v>
      </c>
      <c r="F496" s="947">
        <v>14808</v>
      </c>
      <c r="H496" s="914"/>
      <c r="I496" s="914"/>
      <c r="J496" s="915"/>
      <c r="K496" s="915"/>
    </row>
    <row r="497" spans="2:11">
      <c r="B497" s="139"/>
      <c r="C497" s="948" t="s">
        <v>1153</v>
      </c>
      <c r="D497" s="945" t="s">
        <v>1860</v>
      </c>
      <c r="E497" s="947">
        <v>24562</v>
      </c>
      <c r="F497" s="947">
        <v>24346</v>
      </c>
      <c r="H497" s="914"/>
      <c r="I497" s="914"/>
      <c r="J497" s="915"/>
      <c r="K497" s="915"/>
    </row>
    <row r="498" spans="2:11">
      <c r="B498" s="139"/>
      <c r="C498" s="948" t="s">
        <v>1154</v>
      </c>
      <c r="D498" s="945" t="s">
        <v>1861</v>
      </c>
      <c r="E498" s="947">
        <v>18487</v>
      </c>
      <c r="F498" s="947">
        <v>18690</v>
      </c>
      <c r="H498" s="914"/>
      <c r="I498" s="914"/>
      <c r="J498" s="915"/>
      <c r="K498" s="915"/>
    </row>
    <row r="499" spans="2:11">
      <c r="B499" s="139"/>
      <c r="C499" s="948" t="s">
        <v>1155</v>
      </c>
      <c r="D499" s="945" t="s">
        <v>1862</v>
      </c>
      <c r="E499" s="947">
        <v>10905</v>
      </c>
      <c r="F499" s="947">
        <v>11229</v>
      </c>
      <c r="H499" s="914"/>
      <c r="I499" s="914"/>
      <c r="J499" s="915"/>
      <c r="K499" s="915"/>
    </row>
    <row r="500" spans="2:11">
      <c r="B500" s="139"/>
      <c r="C500" s="948" t="s">
        <v>1156</v>
      </c>
      <c r="D500" s="945" t="s">
        <v>1863</v>
      </c>
      <c r="E500" s="947">
        <v>52520</v>
      </c>
      <c r="F500" s="947">
        <v>51785</v>
      </c>
      <c r="H500" s="914"/>
      <c r="I500" s="914"/>
      <c r="J500" s="915"/>
      <c r="K500" s="915"/>
    </row>
    <row r="501" spans="2:11">
      <c r="B501" s="139"/>
      <c r="C501" s="948" t="s">
        <v>1158</v>
      </c>
      <c r="D501" s="945" t="s">
        <v>1864</v>
      </c>
      <c r="E501" s="947">
        <v>13591</v>
      </c>
      <c r="F501" s="947">
        <v>13696</v>
      </c>
      <c r="H501" s="914"/>
      <c r="I501" s="914"/>
      <c r="J501" s="915"/>
      <c r="K501" s="915"/>
    </row>
    <row r="502" spans="2:11">
      <c r="B502" s="139"/>
      <c r="C502" s="948" t="s">
        <v>1159</v>
      </c>
      <c r="D502" s="945" t="s">
        <v>1865</v>
      </c>
      <c r="E502" s="947">
        <v>14284</v>
      </c>
      <c r="F502" s="947">
        <v>14577</v>
      </c>
      <c r="H502" s="914"/>
      <c r="I502" s="914"/>
      <c r="J502" s="915"/>
      <c r="K502" s="915"/>
    </row>
    <row r="503" spans="2:11">
      <c r="B503" s="139"/>
      <c r="C503" s="948" t="s">
        <v>1160</v>
      </c>
      <c r="D503" s="945" t="s">
        <v>1866</v>
      </c>
      <c r="E503" s="947">
        <v>12958</v>
      </c>
      <c r="F503" s="947">
        <v>13478</v>
      </c>
      <c r="H503" s="914"/>
      <c r="I503" s="914"/>
      <c r="J503" s="915"/>
      <c r="K503" s="915"/>
    </row>
    <row r="504" spans="2:11">
      <c r="B504" s="139"/>
      <c r="C504" s="948" t="s">
        <v>1161</v>
      </c>
      <c r="D504" s="945" t="s">
        <v>1867</v>
      </c>
      <c r="E504" s="947">
        <v>15490</v>
      </c>
      <c r="F504" s="947">
        <v>16054</v>
      </c>
      <c r="H504" s="914"/>
      <c r="I504" s="914"/>
      <c r="J504" s="915"/>
      <c r="K504" s="915"/>
    </row>
    <row r="505" spans="2:11">
      <c r="B505" s="139"/>
      <c r="C505" s="948" t="s">
        <v>1162</v>
      </c>
      <c r="D505" s="945" t="s">
        <v>1868</v>
      </c>
      <c r="E505" s="947">
        <v>19024</v>
      </c>
      <c r="F505" s="947">
        <v>19772</v>
      </c>
      <c r="H505" s="914"/>
      <c r="I505" s="914"/>
      <c r="J505" s="915"/>
      <c r="K505" s="915"/>
    </row>
    <row r="506" spans="2:11">
      <c r="B506" s="139"/>
      <c r="C506" s="948" t="s">
        <v>1163</v>
      </c>
      <c r="D506" s="945" t="s">
        <v>1869</v>
      </c>
      <c r="E506" s="947">
        <v>40932</v>
      </c>
      <c r="F506" s="947">
        <v>42377</v>
      </c>
      <c r="H506" s="914"/>
      <c r="I506" s="914"/>
      <c r="J506" s="915"/>
      <c r="K506" s="915"/>
    </row>
    <row r="507" spans="2:11">
      <c r="B507" s="139"/>
      <c r="C507" s="948" t="s">
        <v>1164</v>
      </c>
      <c r="D507" s="945" t="s">
        <v>1870</v>
      </c>
      <c r="E507" s="947">
        <v>11361</v>
      </c>
      <c r="F507" s="947">
        <v>11630</v>
      </c>
      <c r="H507" s="914"/>
      <c r="I507" s="914"/>
      <c r="J507" s="915"/>
      <c r="K507" s="915"/>
    </row>
    <row r="508" spans="2:11">
      <c r="B508" s="139"/>
      <c r="C508" s="948" t="s">
        <v>1165</v>
      </c>
      <c r="D508" s="945" t="s">
        <v>1871</v>
      </c>
      <c r="E508" s="947">
        <v>18618</v>
      </c>
      <c r="F508" s="947">
        <v>19164</v>
      </c>
      <c r="H508" s="914"/>
      <c r="I508" s="914"/>
      <c r="J508" s="915"/>
      <c r="K508" s="915"/>
    </row>
    <row r="509" spans="2:11">
      <c r="B509" s="139"/>
      <c r="C509" s="948" t="s">
        <v>1166</v>
      </c>
      <c r="D509" s="945" t="s">
        <v>1872</v>
      </c>
      <c r="E509" s="947">
        <v>12377</v>
      </c>
      <c r="F509" s="947">
        <v>12793</v>
      </c>
      <c r="H509" s="914"/>
      <c r="I509" s="914"/>
      <c r="J509" s="915"/>
      <c r="K509" s="915"/>
    </row>
    <row r="510" spans="2:11">
      <c r="B510" s="139"/>
      <c r="C510" s="948" t="s">
        <v>1167</v>
      </c>
      <c r="D510" s="945" t="s">
        <v>1873</v>
      </c>
      <c r="E510" s="947">
        <v>14040</v>
      </c>
      <c r="F510" s="947">
        <v>14310</v>
      </c>
      <c r="H510" s="914"/>
      <c r="I510" s="914"/>
      <c r="J510" s="915"/>
      <c r="K510" s="915"/>
    </row>
    <row r="511" spans="2:11">
      <c r="B511" s="139"/>
      <c r="C511" s="948" t="s">
        <v>1168</v>
      </c>
      <c r="D511" s="945" t="s">
        <v>1874</v>
      </c>
      <c r="E511" s="947">
        <v>20107</v>
      </c>
      <c r="F511" s="947">
        <v>21746</v>
      </c>
      <c r="H511" s="914"/>
      <c r="I511" s="914"/>
      <c r="J511" s="915"/>
      <c r="K511" s="915"/>
    </row>
    <row r="512" spans="2:11">
      <c r="B512" s="139"/>
      <c r="C512" s="948" t="s">
        <v>1169</v>
      </c>
      <c r="D512" s="945" t="s">
        <v>1875</v>
      </c>
      <c r="E512" s="947">
        <v>14316</v>
      </c>
      <c r="F512" s="947">
        <v>14088</v>
      </c>
      <c r="H512" s="914"/>
      <c r="I512" s="914"/>
      <c r="J512" s="915"/>
      <c r="K512" s="915"/>
    </row>
    <row r="513" spans="2:11">
      <c r="B513" s="139"/>
      <c r="C513" s="948" t="s">
        <v>1170</v>
      </c>
      <c r="D513" s="945" t="s">
        <v>1876</v>
      </c>
      <c r="E513" s="947">
        <v>21044</v>
      </c>
      <c r="F513" s="947">
        <v>21669</v>
      </c>
      <c r="H513" s="914"/>
      <c r="I513" s="914"/>
      <c r="J513" s="915"/>
      <c r="K513" s="915"/>
    </row>
    <row r="514" spans="2:11">
      <c r="B514" s="139"/>
      <c r="C514" s="948" t="s">
        <v>1171</v>
      </c>
      <c r="D514" s="945" t="s">
        <v>1877</v>
      </c>
      <c r="E514" s="947">
        <v>15495</v>
      </c>
      <c r="F514" s="947">
        <v>15947</v>
      </c>
      <c r="H514" s="914"/>
      <c r="I514" s="914"/>
      <c r="J514" s="915"/>
      <c r="K514" s="915"/>
    </row>
    <row r="515" spans="2:11">
      <c r="B515" s="139"/>
      <c r="C515" s="948" t="s">
        <v>1172</v>
      </c>
      <c r="D515" s="945" t="s">
        <v>1878</v>
      </c>
      <c r="E515" s="947">
        <v>14583</v>
      </c>
      <c r="F515" s="947">
        <v>15273</v>
      </c>
      <c r="H515" s="914"/>
      <c r="I515" s="914"/>
      <c r="J515" s="915"/>
      <c r="K515" s="915"/>
    </row>
    <row r="516" spans="2:11">
      <c r="B516" s="139"/>
      <c r="C516" s="948" t="s">
        <v>1173</v>
      </c>
      <c r="D516" s="945" t="s">
        <v>1879</v>
      </c>
      <c r="E516" s="947">
        <v>17119</v>
      </c>
      <c r="F516" s="947">
        <v>17299</v>
      </c>
      <c r="H516" s="914"/>
      <c r="I516" s="914"/>
      <c r="J516" s="915"/>
      <c r="K516" s="915"/>
    </row>
    <row r="517" spans="2:11">
      <c r="B517" s="139"/>
      <c r="C517" s="948" t="s">
        <v>1174</v>
      </c>
      <c r="D517" s="945" t="s">
        <v>1880</v>
      </c>
      <c r="E517" s="947">
        <v>19344</v>
      </c>
      <c r="F517" s="947">
        <v>20093</v>
      </c>
      <c r="H517" s="914"/>
      <c r="I517" s="914"/>
      <c r="J517" s="915"/>
      <c r="K517" s="915"/>
    </row>
    <row r="518" spans="2:11">
      <c r="B518" s="139"/>
      <c r="C518" s="948" t="s">
        <v>1175</v>
      </c>
      <c r="D518" s="945" t="s">
        <v>1881</v>
      </c>
      <c r="E518" s="947">
        <v>18964</v>
      </c>
      <c r="F518" s="947">
        <v>19914</v>
      </c>
      <c r="H518" s="914"/>
      <c r="I518" s="914"/>
      <c r="J518" s="915"/>
      <c r="K518" s="915"/>
    </row>
    <row r="519" spans="2:11">
      <c r="B519" s="139"/>
      <c r="C519" s="948" t="s">
        <v>1176</v>
      </c>
      <c r="D519" s="945" t="s">
        <v>1882</v>
      </c>
      <c r="E519" s="947">
        <v>19803</v>
      </c>
      <c r="F519" s="947">
        <v>20514</v>
      </c>
      <c r="H519" s="914"/>
      <c r="I519" s="914"/>
      <c r="J519" s="915"/>
      <c r="K519" s="915"/>
    </row>
    <row r="520" spans="2:11">
      <c r="B520" s="139"/>
      <c r="C520" s="948" t="s">
        <v>1177</v>
      </c>
      <c r="D520" s="945" t="s">
        <v>1883</v>
      </c>
      <c r="E520" s="947">
        <v>22785</v>
      </c>
      <c r="F520" s="947">
        <v>23236</v>
      </c>
      <c r="H520" s="914"/>
      <c r="I520" s="914"/>
      <c r="J520" s="915"/>
      <c r="K520" s="915"/>
    </row>
    <row r="521" spans="2:11">
      <c r="B521" s="139"/>
      <c r="C521" s="948" t="s">
        <v>1179</v>
      </c>
      <c r="D521" s="945" t="s">
        <v>1884</v>
      </c>
      <c r="E521" s="947">
        <v>19551</v>
      </c>
      <c r="F521" s="947">
        <v>20374</v>
      </c>
      <c r="H521" s="914"/>
      <c r="I521" s="914"/>
      <c r="J521" s="915"/>
      <c r="K521" s="915"/>
    </row>
    <row r="522" spans="2:11">
      <c r="B522" s="139"/>
      <c r="C522" s="948" t="s">
        <v>1180</v>
      </c>
      <c r="D522" s="945" t="s">
        <v>1885</v>
      </c>
      <c r="E522" s="947">
        <v>11206</v>
      </c>
      <c r="F522" s="947">
        <v>11464</v>
      </c>
      <c r="H522" s="914"/>
      <c r="I522" s="914"/>
      <c r="J522" s="915"/>
      <c r="K522" s="915"/>
    </row>
    <row r="523" spans="2:11">
      <c r="B523" s="139"/>
      <c r="C523" s="948" t="s">
        <v>1181</v>
      </c>
      <c r="D523" s="945" t="s">
        <v>1886</v>
      </c>
      <c r="E523" s="947">
        <v>14589</v>
      </c>
      <c r="F523" s="947">
        <v>15117</v>
      </c>
      <c r="H523" s="914"/>
      <c r="I523" s="914"/>
      <c r="J523" s="915"/>
      <c r="K523" s="915"/>
    </row>
    <row r="524" spans="2:11">
      <c r="B524" s="139"/>
      <c r="C524" s="948" t="s">
        <v>1182</v>
      </c>
      <c r="D524" s="945" t="s">
        <v>1887</v>
      </c>
      <c r="E524" s="947">
        <v>22644</v>
      </c>
      <c r="F524" s="947">
        <v>23067</v>
      </c>
      <c r="H524" s="914"/>
      <c r="I524" s="914"/>
      <c r="J524" s="915"/>
      <c r="K524" s="915"/>
    </row>
    <row r="525" spans="2:11">
      <c r="B525" s="139"/>
      <c r="C525" s="948" t="s">
        <v>1183</v>
      </c>
      <c r="D525" s="945" t="s">
        <v>1888</v>
      </c>
      <c r="E525" s="947">
        <v>19848</v>
      </c>
      <c r="F525" s="947">
        <v>20134</v>
      </c>
      <c r="H525" s="914"/>
      <c r="I525" s="914"/>
      <c r="J525" s="915"/>
      <c r="K525" s="915"/>
    </row>
    <row r="526" spans="2:11">
      <c r="B526" s="139"/>
      <c r="C526" s="948" t="s">
        <v>1184</v>
      </c>
      <c r="D526" s="945" t="s">
        <v>1889</v>
      </c>
      <c r="E526" s="947">
        <v>15181</v>
      </c>
      <c r="F526" s="947">
        <v>15793</v>
      </c>
      <c r="H526" s="914"/>
      <c r="I526" s="914"/>
      <c r="J526" s="915"/>
      <c r="K526" s="915"/>
    </row>
    <row r="527" spans="2:11">
      <c r="B527" s="139"/>
      <c r="C527" s="948" t="s">
        <v>1185</v>
      </c>
      <c r="D527" s="945" t="s">
        <v>1890</v>
      </c>
      <c r="E527" s="947">
        <v>11892</v>
      </c>
      <c r="F527" s="947">
        <v>12560</v>
      </c>
      <c r="H527" s="914"/>
      <c r="I527" s="914"/>
      <c r="J527" s="915"/>
      <c r="K527" s="915"/>
    </row>
    <row r="528" spans="2:11">
      <c r="B528" s="139"/>
      <c r="C528" s="948" t="s">
        <v>1186</v>
      </c>
      <c r="D528" s="945" t="s">
        <v>1891</v>
      </c>
      <c r="E528" s="947">
        <v>31073</v>
      </c>
      <c r="F528" s="947">
        <v>32589</v>
      </c>
      <c r="H528" s="914"/>
      <c r="I528" s="914"/>
      <c r="J528" s="915"/>
      <c r="K528" s="915"/>
    </row>
    <row r="529" spans="2:11">
      <c r="B529" s="139"/>
      <c r="C529" s="948" t="s">
        <v>1187</v>
      </c>
      <c r="D529" s="945" t="s">
        <v>1892</v>
      </c>
      <c r="E529" s="947">
        <v>17336</v>
      </c>
      <c r="F529" s="947">
        <v>16934</v>
      </c>
      <c r="H529" s="914"/>
      <c r="I529" s="914"/>
      <c r="J529" s="915"/>
      <c r="K529" s="915"/>
    </row>
    <row r="530" spans="2:11">
      <c r="B530" s="139"/>
      <c r="C530" s="948" t="s">
        <v>1243</v>
      </c>
      <c r="D530" s="945" t="s">
        <v>1893</v>
      </c>
      <c r="E530" s="947">
        <v>17247</v>
      </c>
      <c r="F530" s="947">
        <v>18861</v>
      </c>
      <c r="H530" s="914"/>
      <c r="I530" s="914"/>
      <c r="J530" s="915"/>
      <c r="K530" s="915"/>
    </row>
    <row r="531" spans="2:11">
      <c r="B531" s="139"/>
      <c r="C531" s="948" t="s">
        <v>1188</v>
      </c>
      <c r="D531" s="945" t="s">
        <v>1894</v>
      </c>
      <c r="E531" s="947">
        <v>3150</v>
      </c>
      <c r="F531" s="947">
        <v>3159</v>
      </c>
      <c r="H531" s="914"/>
      <c r="I531" s="914"/>
      <c r="J531" s="915"/>
      <c r="K531" s="915"/>
    </row>
    <row r="532" spans="2:11">
      <c r="B532" s="139"/>
      <c r="C532" s="948" t="s">
        <v>1189</v>
      </c>
      <c r="D532" s="945" t="s">
        <v>1895</v>
      </c>
      <c r="E532" s="947">
        <v>16437</v>
      </c>
      <c r="F532" s="947">
        <v>17359</v>
      </c>
      <c r="H532" s="914"/>
      <c r="I532" s="914"/>
      <c r="J532" s="915"/>
      <c r="K532" s="915"/>
    </row>
    <row r="533" spans="2:11">
      <c r="B533" s="139"/>
      <c r="C533" s="948" t="s">
        <v>1190</v>
      </c>
      <c r="D533" s="945" t="s">
        <v>1896</v>
      </c>
      <c r="E533" s="947">
        <v>16080</v>
      </c>
      <c r="F533" s="947">
        <v>16527</v>
      </c>
      <c r="H533" s="914"/>
      <c r="I533" s="914"/>
      <c r="J533" s="915"/>
      <c r="K533" s="915"/>
    </row>
    <row r="534" spans="2:11">
      <c r="B534" s="139"/>
      <c r="C534" s="948" t="s">
        <v>1191</v>
      </c>
      <c r="D534" s="945" t="s">
        <v>1897</v>
      </c>
      <c r="E534" s="947">
        <v>15304</v>
      </c>
      <c r="F534" s="947">
        <v>16476</v>
      </c>
      <c r="H534" s="914"/>
      <c r="I534" s="914"/>
      <c r="J534" s="915"/>
      <c r="K534" s="915"/>
    </row>
    <row r="535" spans="2:11">
      <c r="B535" s="139"/>
      <c r="C535" s="948" t="s">
        <v>1192</v>
      </c>
      <c r="D535" s="945" t="s">
        <v>1898</v>
      </c>
      <c r="E535" s="947">
        <v>13923</v>
      </c>
      <c r="F535" s="947">
        <v>14451</v>
      </c>
      <c r="H535" s="914"/>
      <c r="I535" s="914"/>
      <c r="J535" s="915"/>
      <c r="K535" s="915"/>
    </row>
    <row r="536" spans="2:11">
      <c r="B536" s="139"/>
      <c r="C536" s="948" t="s">
        <v>1193</v>
      </c>
      <c r="D536" s="945" t="s">
        <v>1899</v>
      </c>
      <c r="E536" s="947">
        <v>16404</v>
      </c>
      <c r="F536" s="947">
        <v>16998</v>
      </c>
      <c r="H536" s="914"/>
      <c r="I536" s="914"/>
      <c r="J536" s="915"/>
      <c r="K536" s="915"/>
    </row>
    <row r="537" spans="2:11">
      <c r="B537" s="139"/>
      <c r="C537" s="948" t="s">
        <v>1194</v>
      </c>
      <c r="D537" s="945" t="s">
        <v>1900</v>
      </c>
      <c r="E537" s="947">
        <v>12472</v>
      </c>
      <c r="F537" s="947">
        <v>12615</v>
      </c>
      <c r="H537" s="914"/>
      <c r="I537" s="914"/>
      <c r="J537" s="915"/>
      <c r="K537" s="915"/>
    </row>
    <row r="538" spans="2:11">
      <c r="B538" s="139"/>
      <c r="C538" s="948" t="s">
        <v>1195</v>
      </c>
      <c r="D538" s="945" t="s">
        <v>1901</v>
      </c>
      <c r="E538" s="947">
        <v>14479</v>
      </c>
      <c r="F538" s="947">
        <v>14657</v>
      </c>
      <c r="H538" s="914"/>
      <c r="I538" s="914"/>
      <c r="J538" s="915"/>
      <c r="K538" s="915"/>
    </row>
    <row r="539" spans="2:11">
      <c r="B539" s="139"/>
      <c r="C539" s="948" t="s">
        <v>1196</v>
      </c>
      <c r="D539" s="945" t="s">
        <v>1902</v>
      </c>
      <c r="E539" s="947">
        <v>14129</v>
      </c>
      <c r="F539" s="947">
        <v>14508</v>
      </c>
      <c r="H539" s="914"/>
      <c r="I539" s="914"/>
      <c r="J539" s="915"/>
      <c r="K539" s="915"/>
    </row>
    <row r="540" spans="2:11">
      <c r="B540" s="139"/>
      <c r="C540" s="948" t="s">
        <v>1197</v>
      </c>
      <c r="D540" s="945" t="s">
        <v>1903</v>
      </c>
      <c r="E540" s="947">
        <v>18007</v>
      </c>
      <c r="F540" s="947">
        <v>18437</v>
      </c>
      <c r="H540" s="914"/>
      <c r="I540" s="914"/>
      <c r="J540" s="915"/>
      <c r="K540" s="915"/>
    </row>
    <row r="541" spans="2:11">
      <c r="B541" s="139"/>
      <c r="C541" s="948" t="s">
        <v>1198</v>
      </c>
      <c r="D541" s="945" t="s">
        <v>1904</v>
      </c>
      <c r="E541" s="947">
        <v>24704</v>
      </c>
      <c r="F541" s="947">
        <v>25371</v>
      </c>
      <c r="H541" s="914"/>
      <c r="I541" s="914"/>
      <c r="J541" s="915"/>
      <c r="K541" s="915"/>
    </row>
    <row r="542" spans="2:11">
      <c r="B542" s="139"/>
      <c r="C542" s="948" t="s">
        <v>1199</v>
      </c>
      <c r="D542" s="945" t="s">
        <v>1905</v>
      </c>
      <c r="E542" s="947">
        <v>14896</v>
      </c>
      <c r="F542" s="947">
        <v>14862</v>
      </c>
      <c r="H542" s="914"/>
      <c r="I542" s="914"/>
      <c r="J542" s="915"/>
      <c r="K542" s="915"/>
    </row>
    <row r="543" spans="2:11">
      <c r="B543" s="139"/>
      <c r="C543" s="948" t="s">
        <v>1200</v>
      </c>
      <c r="D543" s="945" t="s">
        <v>1906</v>
      </c>
      <c r="E543" s="947">
        <v>14302</v>
      </c>
      <c r="F543" s="947">
        <v>15027</v>
      </c>
      <c r="H543" s="914"/>
      <c r="I543" s="914"/>
      <c r="J543" s="915"/>
      <c r="K543" s="915"/>
    </row>
    <row r="544" spans="2:11">
      <c r="B544" s="139"/>
      <c r="C544" s="948" t="s">
        <v>1201</v>
      </c>
      <c r="D544" s="945" t="s">
        <v>1907</v>
      </c>
      <c r="E544" s="947">
        <v>14505</v>
      </c>
      <c r="F544" s="947">
        <v>15001</v>
      </c>
      <c r="H544" s="914"/>
      <c r="I544" s="914"/>
      <c r="J544" s="915"/>
      <c r="K544" s="915"/>
    </row>
    <row r="545" spans="2:11">
      <c r="B545" s="139"/>
      <c r="C545" s="948" t="s">
        <v>1202</v>
      </c>
      <c r="D545" s="945" t="s">
        <v>1908</v>
      </c>
      <c r="E545" s="947">
        <v>14750</v>
      </c>
      <c r="F545" s="947">
        <v>15629</v>
      </c>
      <c r="H545" s="914"/>
      <c r="I545" s="914"/>
      <c r="J545" s="915"/>
      <c r="K545" s="915"/>
    </row>
    <row r="546" spans="2:11">
      <c r="B546" s="139"/>
      <c r="C546" s="948" t="s">
        <v>1203</v>
      </c>
      <c r="D546" s="945" t="s">
        <v>1909</v>
      </c>
      <c r="E546" s="947">
        <v>13931</v>
      </c>
      <c r="F546" s="947">
        <v>14467</v>
      </c>
      <c r="H546" s="914"/>
      <c r="I546" s="914"/>
      <c r="J546" s="915"/>
      <c r="K546" s="915"/>
    </row>
    <row r="547" spans="2:11">
      <c r="B547" s="139"/>
      <c r="C547" s="948" t="s">
        <v>1204</v>
      </c>
      <c r="D547" s="945" t="s">
        <v>1910</v>
      </c>
      <c r="E547" s="947">
        <v>20697</v>
      </c>
      <c r="F547" s="947">
        <v>21945</v>
      </c>
      <c r="H547" s="914"/>
      <c r="I547" s="914"/>
      <c r="J547" s="915"/>
      <c r="K547" s="915"/>
    </row>
    <row r="548" spans="2:11">
      <c r="B548" s="139"/>
      <c r="C548" s="948" t="s">
        <v>1205</v>
      </c>
      <c r="D548" s="945" t="s">
        <v>1911</v>
      </c>
      <c r="E548" s="947">
        <v>12786</v>
      </c>
      <c r="F548" s="947">
        <v>12941</v>
      </c>
      <c r="H548" s="914"/>
      <c r="I548" s="914"/>
      <c r="J548" s="915"/>
      <c r="K548" s="915"/>
    </row>
    <row r="549" spans="2:11">
      <c r="B549" s="139"/>
      <c r="C549" s="948" t="s">
        <v>1206</v>
      </c>
      <c r="D549" s="945" t="s">
        <v>1912</v>
      </c>
      <c r="E549" s="947">
        <v>12218</v>
      </c>
      <c r="F549" s="947">
        <v>12467</v>
      </c>
      <c r="H549" s="914"/>
      <c r="I549" s="914"/>
      <c r="J549" s="915"/>
      <c r="K549" s="915"/>
    </row>
    <row r="550" spans="2:11">
      <c r="B550" s="139"/>
      <c r="C550" s="948" t="s">
        <v>1207</v>
      </c>
      <c r="D550" s="945" t="s">
        <v>1913</v>
      </c>
      <c r="E550" s="947">
        <v>13540</v>
      </c>
      <c r="F550" s="947">
        <v>13673</v>
      </c>
      <c r="H550" s="914"/>
      <c r="I550" s="914"/>
      <c r="J550" s="915"/>
      <c r="K550" s="915"/>
    </row>
    <row r="551" spans="2:11">
      <c r="B551" s="139"/>
      <c r="C551" s="948" t="s">
        <v>1208</v>
      </c>
      <c r="D551" s="945" t="s">
        <v>1914</v>
      </c>
      <c r="E551" s="947">
        <v>17804</v>
      </c>
      <c r="F551" s="947">
        <v>18270</v>
      </c>
      <c r="H551" s="914"/>
      <c r="I551" s="914"/>
      <c r="J551" s="915"/>
      <c r="K551" s="915"/>
    </row>
    <row r="552" spans="2:11">
      <c r="B552" s="139"/>
      <c r="C552" s="948" t="s">
        <v>1209</v>
      </c>
      <c r="D552" s="945" t="s">
        <v>1915</v>
      </c>
      <c r="E552" s="947">
        <v>12802</v>
      </c>
      <c r="F552" s="947">
        <v>13158</v>
      </c>
      <c r="H552" s="914"/>
      <c r="I552" s="914"/>
      <c r="J552" s="915"/>
      <c r="K552" s="915"/>
    </row>
    <row r="553" spans="2:11">
      <c r="B553" s="139"/>
      <c r="C553" s="948" t="s">
        <v>1210</v>
      </c>
      <c r="D553" s="945" t="s">
        <v>1916</v>
      </c>
      <c r="E553" s="947">
        <v>14545</v>
      </c>
      <c r="F553" s="947">
        <v>15147</v>
      </c>
      <c r="H553" s="914"/>
      <c r="I553" s="914"/>
      <c r="J553" s="915"/>
      <c r="K553" s="915"/>
    </row>
    <row r="554" spans="2:11">
      <c r="B554" s="139"/>
      <c r="C554" s="948" t="s">
        <v>1211</v>
      </c>
      <c r="D554" s="945" t="s">
        <v>1917</v>
      </c>
      <c r="E554" s="947">
        <v>16703</v>
      </c>
      <c r="F554" s="947">
        <v>18393</v>
      </c>
      <c r="H554" s="914"/>
      <c r="I554" s="914"/>
      <c r="J554" s="915"/>
      <c r="K554" s="915"/>
    </row>
    <row r="555" spans="2:11">
      <c r="B555" s="139"/>
      <c r="C555" s="948" t="s">
        <v>1212</v>
      </c>
      <c r="D555" s="945" t="s">
        <v>1918</v>
      </c>
      <c r="E555" s="947">
        <v>29390</v>
      </c>
      <c r="F555" s="947">
        <v>30042</v>
      </c>
      <c r="H555" s="914"/>
      <c r="I555" s="914"/>
      <c r="J555" s="915"/>
      <c r="K555" s="915"/>
    </row>
    <row r="556" spans="2:11">
      <c r="B556" s="139"/>
      <c r="C556" s="948" t="s">
        <v>1213</v>
      </c>
      <c r="D556" s="945" t="s">
        <v>1919</v>
      </c>
      <c r="E556" s="947">
        <v>13387</v>
      </c>
      <c r="F556" s="947">
        <v>13769</v>
      </c>
      <c r="H556" s="914"/>
      <c r="I556" s="914"/>
      <c r="J556" s="915"/>
      <c r="K556" s="915"/>
    </row>
    <row r="557" spans="2:11">
      <c r="B557" s="139"/>
      <c r="C557" s="948" t="s">
        <v>1214</v>
      </c>
      <c r="D557" s="945" t="s">
        <v>1920</v>
      </c>
      <c r="E557" s="947">
        <v>12490</v>
      </c>
      <c r="F557" s="947">
        <v>12780</v>
      </c>
      <c r="H557" s="914"/>
      <c r="I557" s="914"/>
      <c r="J557" s="915"/>
      <c r="K557" s="915"/>
    </row>
    <row r="558" spans="2:11">
      <c r="B558" s="139"/>
      <c r="C558" s="948" t="s">
        <v>1215</v>
      </c>
      <c r="D558" s="945" t="s">
        <v>1921</v>
      </c>
      <c r="E558" s="947">
        <v>12554</v>
      </c>
      <c r="F558" s="947">
        <v>13115</v>
      </c>
      <c r="H558" s="914"/>
      <c r="I558" s="914"/>
      <c r="J558" s="915"/>
      <c r="K558" s="915"/>
    </row>
    <row r="559" spans="2:11">
      <c r="B559" s="139"/>
      <c r="C559" s="948" t="s">
        <v>1217</v>
      </c>
      <c r="D559" s="945" t="s">
        <v>1922</v>
      </c>
      <c r="E559" s="947">
        <v>18075</v>
      </c>
      <c r="F559" s="947">
        <v>18263</v>
      </c>
      <c r="H559" s="914"/>
      <c r="I559" s="914"/>
      <c r="J559" s="915"/>
      <c r="K559" s="915"/>
    </row>
    <row r="560" spans="2:11">
      <c r="B560" s="139"/>
      <c r="C560" s="948" t="s">
        <v>1218</v>
      </c>
      <c r="D560" s="945" t="s">
        <v>1923</v>
      </c>
      <c r="E560" s="947">
        <v>12367</v>
      </c>
      <c r="F560" s="947">
        <v>12810</v>
      </c>
      <c r="H560" s="914"/>
      <c r="I560" s="914"/>
      <c r="J560" s="915"/>
      <c r="K560" s="915"/>
    </row>
    <row r="561" spans="2:11">
      <c r="B561" s="139"/>
      <c r="C561" s="948" t="s">
        <v>1219</v>
      </c>
      <c r="D561" s="945" t="s">
        <v>1924</v>
      </c>
      <c r="E561" s="947">
        <v>14689</v>
      </c>
      <c r="F561" s="947">
        <v>15500</v>
      </c>
      <c r="H561" s="914"/>
      <c r="I561" s="914"/>
      <c r="J561" s="915"/>
      <c r="K561" s="915"/>
    </row>
    <row r="562" spans="2:11">
      <c r="B562" s="139"/>
      <c r="C562" s="948" t="s">
        <v>1220</v>
      </c>
      <c r="D562" s="945" t="s">
        <v>1925</v>
      </c>
      <c r="E562" s="947">
        <v>13635</v>
      </c>
      <c r="F562" s="947">
        <v>14208</v>
      </c>
      <c r="H562" s="914"/>
      <c r="I562" s="914"/>
      <c r="J562" s="915"/>
      <c r="K562" s="915"/>
    </row>
    <row r="563" spans="2:11">
      <c r="B563" s="139"/>
      <c r="C563" s="948" t="s">
        <v>1221</v>
      </c>
      <c r="D563" s="945" t="s">
        <v>1926</v>
      </c>
      <c r="E563" s="947">
        <v>16162</v>
      </c>
      <c r="F563" s="947">
        <v>16524</v>
      </c>
      <c r="H563" s="914"/>
      <c r="I563" s="914"/>
      <c r="J563" s="915"/>
      <c r="K563" s="915"/>
    </row>
    <row r="564" spans="2:11">
      <c r="B564" s="139"/>
      <c r="C564" s="948" t="s">
        <v>1222</v>
      </c>
      <c r="D564" s="945" t="s">
        <v>1927</v>
      </c>
      <c r="E564" s="947">
        <v>13390</v>
      </c>
      <c r="F564" s="947">
        <v>13501</v>
      </c>
      <c r="H564" s="914"/>
      <c r="I564" s="914"/>
      <c r="J564" s="915"/>
      <c r="K564" s="915"/>
    </row>
    <row r="565" spans="2:11">
      <c r="B565" s="139"/>
      <c r="C565" s="948" t="s">
        <v>1223</v>
      </c>
      <c r="D565" s="945" t="s">
        <v>1928</v>
      </c>
      <c r="E565" s="947">
        <v>13196</v>
      </c>
      <c r="F565" s="947">
        <v>13585</v>
      </c>
      <c r="H565" s="914"/>
      <c r="I565" s="914"/>
      <c r="J565" s="915"/>
      <c r="K565" s="915"/>
    </row>
    <row r="566" spans="2:11">
      <c r="B566" s="139"/>
      <c r="C566" s="948" t="s">
        <v>1224</v>
      </c>
      <c r="D566" s="945" t="s">
        <v>1929</v>
      </c>
      <c r="E566" s="947">
        <v>19134</v>
      </c>
      <c r="F566" s="947">
        <v>19584</v>
      </c>
      <c r="H566" s="914"/>
      <c r="I566" s="914"/>
      <c r="J566" s="915"/>
      <c r="K566" s="915"/>
    </row>
    <row r="567" spans="2:11">
      <c r="B567" s="139"/>
      <c r="C567" s="948" t="s">
        <v>1225</v>
      </c>
      <c r="D567" s="945" t="s">
        <v>1930</v>
      </c>
      <c r="E567" s="947">
        <v>14280</v>
      </c>
      <c r="F567" s="947">
        <v>14860</v>
      </c>
      <c r="H567" s="914"/>
      <c r="I567" s="914"/>
      <c r="J567" s="915"/>
      <c r="K567" s="915"/>
    </row>
    <row r="568" spans="2:11">
      <c r="B568" s="139"/>
      <c r="C568" s="948" t="s">
        <v>1226</v>
      </c>
      <c r="D568" s="945" t="s">
        <v>1931</v>
      </c>
      <c r="E568" s="947">
        <v>18715</v>
      </c>
      <c r="F568" s="947">
        <v>18762</v>
      </c>
      <c r="H568" s="914"/>
      <c r="I568" s="914"/>
      <c r="J568" s="915"/>
      <c r="K568" s="915"/>
    </row>
    <row r="569" spans="2:11">
      <c r="B569" s="139"/>
      <c r="C569" s="948" t="s">
        <v>1227</v>
      </c>
      <c r="D569" s="945" t="s">
        <v>1932</v>
      </c>
      <c r="E569" s="947">
        <v>12249</v>
      </c>
      <c r="F569" s="947">
        <v>12858</v>
      </c>
      <c r="H569" s="914"/>
      <c r="I569" s="914"/>
      <c r="J569" s="915"/>
      <c r="K569" s="915"/>
    </row>
    <row r="570" spans="2:11">
      <c r="B570" s="139"/>
      <c r="C570" s="948" t="s">
        <v>1228</v>
      </c>
      <c r="D570" s="945" t="s">
        <v>1933</v>
      </c>
      <c r="E570" s="947">
        <v>18705</v>
      </c>
      <c r="F570" s="947">
        <v>19418</v>
      </c>
      <c r="H570" s="914"/>
      <c r="I570" s="914"/>
      <c r="J570" s="915"/>
      <c r="K570" s="915"/>
    </row>
    <row r="571" spans="2:11">
      <c r="B571" s="139"/>
      <c r="C571" s="948" t="s">
        <v>1229</v>
      </c>
      <c r="D571" s="945" t="s">
        <v>1934</v>
      </c>
      <c r="E571" s="947">
        <v>11296</v>
      </c>
      <c r="F571" s="947">
        <v>11926</v>
      </c>
      <c r="H571" s="914"/>
      <c r="I571" s="914"/>
      <c r="J571" s="915"/>
      <c r="K571" s="915"/>
    </row>
    <row r="572" spans="2:11">
      <c r="B572" s="139"/>
      <c r="C572" s="948" t="s">
        <v>1230</v>
      </c>
      <c r="D572" s="945" t="s">
        <v>1935</v>
      </c>
      <c r="E572" s="947">
        <v>14111</v>
      </c>
      <c r="F572" s="947">
        <v>13970</v>
      </c>
      <c r="H572" s="914"/>
      <c r="I572" s="914"/>
      <c r="J572" s="915"/>
      <c r="K572" s="915"/>
    </row>
    <row r="573" spans="2:11">
      <c r="B573" s="139"/>
      <c r="C573" s="948" t="s">
        <v>1231</v>
      </c>
      <c r="D573" s="945" t="s">
        <v>1936</v>
      </c>
      <c r="E573" s="947">
        <v>14885</v>
      </c>
      <c r="F573" s="947">
        <v>15440</v>
      </c>
      <c r="H573" s="914"/>
      <c r="I573" s="914"/>
      <c r="J573" s="915"/>
      <c r="K573" s="915"/>
    </row>
    <row r="574" spans="2:11">
      <c r="B574" s="139"/>
      <c r="C574" s="948" t="s">
        <v>1232</v>
      </c>
      <c r="D574" s="945" t="s">
        <v>1937</v>
      </c>
      <c r="E574" s="947">
        <v>17609</v>
      </c>
      <c r="F574" s="947">
        <v>18132</v>
      </c>
      <c r="H574" s="914"/>
      <c r="I574" s="914"/>
      <c r="J574" s="915"/>
      <c r="K574" s="915"/>
    </row>
    <row r="575" spans="2:11">
      <c r="B575" s="139"/>
      <c r="C575" s="948" t="s">
        <v>1233</v>
      </c>
      <c r="D575" s="945" t="s">
        <v>1938</v>
      </c>
      <c r="E575" s="947">
        <v>15265</v>
      </c>
      <c r="F575" s="947">
        <v>15816</v>
      </c>
      <c r="H575" s="914"/>
      <c r="I575" s="914"/>
      <c r="J575" s="915"/>
      <c r="K575" s="915"/>
    </row>
    <row r="576" spans="2:11">
      <c r="B576" s="139"/>
      <c r="C576" s="948" t="s">
        <v>1234</v>
      </c>
      <c r="D576" s="945" t="s">
        <v>1939</v>
      </c>
      <c r="E576" s="947">
        <v>26429</v>
      </c>
      <c r="F576" s="947">
        <v>26855</v>
      </c>
      <c r="H576" s="914"/>
      <c r="I576" s="914"/>
      <c r="J576" s="915"/>
      <c r="K576" s="915"/>
    </row>
    <row r="577" spans="2:11">
      <c r="B577" s="139"/>
      <c r="C577" s="948" t="s">
        <v>1235</v>
      </c>
      <c r="D577" s="945" t="s">
        <v>1940</v>
      </c>
      <c r="E577" s="947">
        <v>15112</v>
      </c>
      <c r="F577" s="947">
        <v>15815</v>
      </c>
      <c r="H577" s="914"/>
      <c r="I577" s="914"/>
      <c r="J577" s="915"/>
      <c r="K577" s="915"/>
    </row>
    <row r="578" spans="2:11">
      <c r="B578" s="139"/>
      <c r="C578" s="948" t="s">
        <v>1236</v>
      </c>
      <c r="D578" s="945" t="s">
        <v>1941</v>
      </c>
      <c r="E578" s="947">
        <v>19972</v>
      </c>
      <c r="F578" s="947">
        <v>20423</v>
      </c>
      <c r="H578" s="914"/>
      <c r="I578" s="914"/>
      <c r="J578" s="915"/>
      <c r="K578" s="915"/>
    </row>
    <row r="579" spans="2:11">
      <c r="B579" s="139"/>
      <c r="C579" s="948" t="s">
        <v>1237</v>
      </c>
      <c r="D579" s="945" t="s">
        <v>1942</v>
      </c>
      <c r="E579" s="947">
        <v>13463</v>
      </c>
      <c r="F579" s="947">
        <v>14074</v>
      </c>
      <c r="H579" s="914"/>
      <c r="I579" s="914"/>
      <c r="J579" s="915"/>
      <c r="K579" s="915"/>
    </row>
    <row r="580" spans="2:11">
      <c r="B580" s="139"/>
      <c r="C580" s="948" t="s">
        <v>1238</v>
      </c>
      <c r="D580" s="945" t="s">
        <v>1943</v>
      </c>
      <c r="E580" s="947">
        <v>18647</v>
      </c>
      <c r="F580" s="947">
        <v>18787</v>
      </c>
      <c r="H580" s="914"/>
      <c r="I580" s="914"/>
      <c r="J580" s="915"/>
      <c r="K580" s="915"/>
    </row>
    <row r="581" spans="2:11">
      <c r="B581" s="139"/>
      <c r="C581" s="948" t="s">
        <v>1239</v>
      </c>
      <c r="D581" s="945" t="s">
        <v>1944</v>
      </c>
      <c r="E581" s="947">
        <v>12882</v>
      </c>
      <c r="F581" s="947">
        <v>13226</v>
      </c>
      <c r="H581" s="914"/>
      <c r="I581" s="914"/>
      <c r="J581" s="915"/>
      <c r="K581" s="915"/>
    </row>
    <row r="582" spans="2:11">
      <c r="B582" s="139"/>
      <c r="C582" s="948" t="s">
        <v>1240</v>
      </c>
      <c r="D582" s="945" t="s">
        <v>1945</v>
      </c>
      <c r="E582" s="947">
        <v>13450</v>
      </c>
      <c r="F582" s="947">
        <v>13708</v>
      </c>
      <c r="H582" s="914"/>
      <c r="I582" s="914"/>
      <c r="J582" s="915"/>
      <c r="K582" s="915"/>
    </row>
    <row r="583" spans="2:11">
      <c r="B583" s="139"/>
      <c r="C583" s="948" t="s">
        <v>1241</v>
      </c>
      <c r="D583" s="945" t="s">
        <v>1946</v>
      </c>
      <c r="E583" s="947">
        <v>25307</v>
      </c>
      <c r="F583" s="947">
        <v>25021</v>
      </c>
      <c r="H583" s="914"/>
      <c r="I583" s="914"/>
      <c r="J583" s="915"/>
      <c r="K583" s="915"/>
    </row>
    <row r="584" spans="2:11">
      <c r="B584" s="139"/>
      <c r="C584" s="948" t="s">
        <v>1242</v>
      </c>
      <c r="D584" s="945" t="s">
        <v>1947</v>
      </c>
      <c r="E584" s="947">
        <v>13373</v>
      </c>
      <c r="F584" s="947">
        <v>13655</v>
      </c>
      <c r="H584" s="914"/>
      <c r="I584" s="914"/>
      <c r="J584" s="915"/>
      <c r="K584" s="915"/>
    </row>
    <row r="585" spans="2:11">
      <c r="B585" s="139"/>
      <c r="C585" s="948" t="s">
        <v>1244</v>
      </c>
      <c r="D585" s="945" t="s">
        <v>1948</v>
      </c>
      <c r="E585" s="947">
        <v>14495</v>
      </c>
      <c r="F585" s="947">
        <v>15062</v>
      </c>
      <c r="H585" s="914"/>
      <c r="I585" s="914"/>
      <c r="J585" s="915"/>
      <c r="K585" s="915"/>
    </row>
    <row r="586" spans="2:11">
      <c r="B586" s="139"/>
      <c r="C586" s="948" t="s">
        <v>1245</v>
      </c>
      <c r="D586" s="945" t="s">
        <v>1949</v>
      </c>
      <c r="E586" s="947">
        <v>12030</v>
      </c>
      <c r="F586" s="947">
        <v>12553</v>
      </c>
      <c r="H586" s="914"/>
      <c r="I586" s="914"/>
      <c r="J586" s="915"/>
      <c r="K586" s="915"/>
    </row>
    <row r="587" spans="2:11">
      <c r="B587" s="139"/>
      <c r="C587" s="948" t="s">
        <v>1246</v>
      </c>
      <c r="D587" s="945" t="s">
        <v>1950</v>
      </c>
      <c r="E587" s="947">
        <v>10709</v>
      </c>
      <c r="F587" s="947">
        <v>11435</v>
      </c>
      <c r="H587" s="914"/>
      <c r="I587" s="914"/>
      <c r="J587" s="915"/>
      <c r="K587" s="915"/>
    </row>
    <row r="588" spans="2:11">
      <c r="B588" s="139"/>
      <c r="C588" s="948" t="s">
        <v>1247</v>
      </c>
      <c r="D588" s="945" t="s">
        <v>1951</v>
      </c>
      <c r="E588" s="947">
        <v>11879</v>
      </c>
      <c r="F588" s="947">
        <v>12044</v>
      </c>
      <c r="H588" s="914"/>
      <c r="I588" s="914"/>
      <c r="J588" s="915"/>
      <c r="K588" s="915"/>
    </row>
    <row r="589" spans="2:11">
      <c r="B589" s="139"/>
      <c r="C589" s="948" t="s">
        <v>1157</v>
      </c>
      <c r="D589" s="945" t="s">
        <v>1952</v>
      </c>
      <c r="E589" s="947">
        <v>18349</v>
      </c>
      <c r="F589" s="947">
        <v>18986</v>
      </c>
      <c r="H589" s="914"/>
      <c r="I589" s="914"/>
      <c r="J589" s="915"/>
      <c r="K589" s="915"/>
    </row>
    <row r="590" spans="2:11">
      <c r="B590" s="139"/>
      <c r="C590" s="948" t="s">
        <v>1248</v>
      </c>
      <c r="D590" s="945" t="s">
        <v>1953</v>
      </c>
      <c r="E590" s="947">
        <v>16052</v>
      </c>
      <c r="F590" s="947">
        <v>15336</v>
      </c>
      <c r="H590" s="914"/>
      <c r="I590" s="914"/>
      <c r="J590" s="915"/>
      <c r="K590" s="915"/>
    </row>
    <row r="591" spans="2:11">
      <c r="B591" s="139"/>
      <c r="C591" s="948" t="s">
        <v>1249</v>
      </c>
      <c r="D591" s="945" t="s">
        <v>1954</v>
      </c>
      <c r="E591" s="947">
        <v>14849</v>
      </c>
      <c r="F591" s="947">
        <v>15401</v>
      </c>
      <c r="H591" s="914"/>
      <c r="I591" s="914"/>
      <c r="J591" s="915"/>
      <c r="K591" s="915"/>
    </row>
    <row r="592" spans="2:11">
      <c r="B592" s="139"/>
      <c r="C592" s="948" t="s">
        <v>1250</v>
      </c>
      <c r="D592" s="945" t="s">
        <v>1955</v>
      </c>
      <c r="E592" s="947">
        <v>14494</v>
      </c>
      <c r="F592" s="947">
        <v>15224</v>
      </c>
      <c r="H592" s="914"/>
      <c r="I592" s="914"/>
      <c r="J592" s="915"/>
      <c r="K592" s="915"/>
    </row>
    <row r="593" spans="2:11">
      <c r="B593" s="139"/>
      <c r="C593" s="948" t="s">
        <v>1251</v>
      </c>
      <c r="D593" s="945" t="s">
        <v>1956</v>
      </c>
      <c r="E593" s="947">
        <v>22190</v>
      </c>
      <c r="F593" s="947">
        <v>22891</v>
      </c>
      <c r="H593" s="914"/>
      <c r="I593" s="914"/>
      <c r="J593" s="915"/>
      <c r="K593" s="915"/>
    </row>
    <row r="594" spans="2:11">
      <c r="B594" s="139"/>
      <c r="C594" s="948" t="s">
        <v>1252</v>
      </c>
      <c r="D594" s="945" t="s">
        <v>1957</v>
      </c>
      <c r="E594" s="947">
        <v>14128</v>
      </c>
      <c r="F594" s="947">
        <v>14601</v>
      </c>
      <c r="H594" s="914"/>
      <c r="I594" s="914"/>
      <c r="J594" s="915"/>
      <c r="K594" s="915"/>
    </row>
    <row r="595" spans="2:11">
      <c r="B595" s="139"/>
      <c r="C595" s="948" t="s">
        <v>1253</v>
      </c>
      <c r="D595" s="945" t="s">
        <v>1958</v>
      </c>
      <c r="E595" s="947">
        <v>16791</v>
      </c>
      <c r="F595" s="947">
        <v>17622</v>
      </c>
      <c r="H595" s="914"/>
      <c r="I595" s="914"/>
      <c r="J595" s="915"/>
      <c r="K595" s="915"/>
    </row>
    <row r="596" spans="2:11">
      <c r="B596" s="139"/>
      <c r="C596" s="948" t="s">
        <v>1268</v>
      </c>
      <c r="D596" s="945" t="s">
        <v>1959</v>
      </c>
      <c r="E596" s="947">
        <v>18993</v>
      </c>
      <c r="F596" s="947">
        <v>19455</v>
      </c>
      <c r="H596" s="914"/>
      <c r="I596" s="914"/>
      <c r="J596" s="915"/>
      <c r="K596" s="915"/>
    </row>
    <row r="597" spans="2:11">
      <c r="B597" s="139"/>
      <c r="C597" s="948" t="s">
        <v>1254</v>
      </c>
      <c r="D597" s="945" t="s">
        <v>1960</v>
      </c>
      <c r="E597" s="947">
        <v>12947</v>
      </c>
      <c r="F597" s="947">
        <v>13317</v>
      </c>
      <c r="H597" s="914"/>
      <c r="I597" s="914"/>
      <c r="J597" s="915"/>
      <c r="K597" s="915"/>
    </row>
    <row r="598" spans="2:11">
      <c r="B598" s="139"/>
      <c r="C598" s="948" t="s">
        <v>1255</v>
      </c>
      <c r="D598" s="945" t="s">
        <v>1961</v>
      </c>
      <c r="E598" s="947">
        <v>18646</v>
      </c>
      <c r="F598" s="947">
        <v>19114</v>
      </c>
      <c r="H598" s="914"/>
      <c r="I598" s="914"/>
      <c r="J598" s="915"/>
      <c r="K598" s="915"/>
    </row>
    <row r="599" spans="2:11">
      <c r="B599" s="139"/>
      <c r="C599" s="948" t="s">
        <v>1256</v>
      </c>
      <c r="D599" s="945" t="s">
        <v>1962</v>
      </c>
      <c r="E599" s="947">
        <v>16159</v>
      </c>
      <c r="F599" s="947">
        <v>16451</v>
      </c>
      <c r="H599" s="914"/>
      <c r="I599" s="914"/>
      <c r="J599" s="915"/>
      <c r="K599" s="915"/>
    </row>
    <row r="600" spans="2:11">
      <c r="B600" s="139"/>
      <c r="C600" s="948" t="s">
        <v>1257</v>
      </c>
      <c r="D600" s="945" t="s">
        <v>1963</v>
      </c>
      <c r="E600" s="947">
        <v>12137</v>
      </c>
      <c r="F600" s="947">
        <v>12936</v>
      </c>
      <c r="H600" s="914"/>
      <c r="I600" s="914"/>
      <c r="J600" s="915"/>
      <c r="K600" s="915"/>
    </row>
    <row r="601" spans="2:11">
      <c r="B601" s="139"/>
      <c r="C601" s="948" t="s">
        <v>1258</v>
      </c>
      <c r="D601" s="945" t="s">
        <v>1964</v>
      </c>
      <c r="E601" s="947">
        <v>11825</v>
      </c>
      <c r="F601" s="947">
        <v>12283</v>
      </c>
      <c r="H601" s="914"/>
      <c r="I601" s="914"/>
      <c r="J601" s="915"/>
      <c r="K601" s="915"/>
    </row>
    <row r="602" spans="2:11">
      <c r="B602" s="139"/>
      <c r="C602" s="948" t="s">
        <v>1259</v>
      </c>
      <c r="D602" s="945" t="s">
        <v>1965</v>
      </c>
      <c r="E602" s="947">
        <v>22219</v>
      </c>
      <c r="F602" s="947">
        <v>23659</v>
      </c>
      <c r="H602" s="914"/>
      <c r="I602" s="914"/>
      <c r="J602" s="915"/>
      <c r="K602" s="915"/>
    </row>
    <row r="603" spans="2:11">
      <c r="B603" s="139"/>
      <c r="C603" s="948" t="s">
        <v>1260</v>
      </c>
      <c r="D603" s="945" t="s">
        <v>1966</v>
      </c>
      <c r="E603" s="947">
        <v>21869</v>
      </c>
      <c r="F603" s="947">
        <v>22376</v>
      </c>
      <c r="H603" s="914"/>
      <c r="I603" s="914"/>
      <c r="J603" s="915"/>
      <c r="K603" s="915"/>
    </row>
    <row r="604" spans="2:11">
      <c r="B604" s="139"/>
      <c r="C604" s="948" t="s">
        <v>1261</v>
      </c>
      <c r="D604" s="945" t="s">
        <v>1967</v>
      </c>
      <c r="E604" s="947">
        <v>17346</v>
      </c>
      <c r="F604" s="947">
        <v>18066</v>
      </c>
      <c r="H604" s="914"/>
      <c r="I604" s="914"/>
      <c r="J604" s="915"/>
      <c r="K604" s="915"/>
    </row>
    <row r="605" spans="2:11">
      <c r="B605" s="139"/>
      <c r="C605" s="948" t="s">
        <v>1262</v>
      </c>
      <c r="D605" s="945" t="s">
        <v>1968</v>
      </c>
      <c r="E605" s="947">
        <v>13146</v>
      </c>
      <c r="F605" s="947">
        <v>13956</v>
      </c>
      <c r="H605" s="914"/>
      <c r="I605" s="914"/>
      <c r="J605" s="915"/>
      <c r="K605" s="915"/>
    </row>
    <row r="606" spans="2:11">
      <c r="B606" s="139"/>
      <c r="C606" s="948" t="s">
        <v>1263</v>
      </c>
      <c r="D606" s="945" t="s">
        <v>1969</v>
      </c>
      <c r="E606" s="947">
        <v>33661</v>
      </c>
      <c r="F606" s="947">
        <v>33749</v>
      </c>
      <c r="H606" s="914"/>
      <c r="I606" s="914"/>
      <c r="J606" s="915"/>
      <c r="K606" s="915"/>
    </row>
    <row r="607" spans="2:11">
      <c r="B607" s="139"/>
      <c r="C607" s="948" t="s">
        <v>1264</v>
      </c>
      <c r="D607" s="945" t="s">
        <v>1970</v>
      </c>
      <c r="E607" s="947">
        <v>23628</v>
      </c>
      <c r="F607" s="947">
        <v>24486</v>
      </c>
      <c r="H607" s="914"/>
      <c r="I607" s="914"/>
      <c r="J607" s="915"/>
      <c r="K607" s="915"/>
    </row>
    <row r="608" spans="2:11">
      <c r="B608" s="139"/>
      <c r="C608" s="948" t="s">
        <v>1265</v>
      </c>
      <c r="D608" s="945" t="s">
        <v>1971</v>
      </c>
      <c r="E608" s="947">
        <v>11413</v>
      </c>
      <c r="F608" s="947">
        <v>11529</v>
      </c>
      <c r="H608" s="914"/>
      <c r="I608" s="914"/>
      <c r="J608" s="915"/>
      <c r="K608" s="915"/>
    </row>
    <row r="609" spans="2:11">
      <c r="B609" s="139"/>
      <c r="C609" s="948" t="s">
        <v>1266</v>
      </c>
      <c r="D609" s="945" t="s">
        <v>1972</v>
      </c>
      <c r="E609" s="947">
        <v>13700</v>
      </c>
      <c r="F609" s="947">
        <v>14006</v>
      </c>
      <c r="H609" s="914"/>
      <c r="I609" s="914"/>
      <c r="J609" s="915"/>
      <c r="K609" s="915"/>
    </row>
    <row r="610" spans="2:11">
      <c r="B610" s="139"/>
      <c r="C610" s="948" t="s">
        <v>1267</v>
      </c>
      <c r="D610" s="945" t="s">
        <v>1973</v>
      </c>
      <c r="E610" s="947">
        <v>16975</v>
      </c>
      <c r="F610" s="947">
        <v>17523</v>
      </c>
      <c r="H610" s="914"/>
      <c r="I610" s="914"/>
      <c r="J610" s="915"/>
      <c r="K610" s="915"/>
    </row>
    <row r="611" spans="2:11">
      <c r="B611" s="139"/>
      <c r="C611" s="948" t="s">
        <v>1269</v>
      </c>
      <c r="D611" s="945" t="s">
        <v>1974</v>
      </c>
      <c r="E611" s="947">
        <v>14463</v>
      </c>
      <c r="F611" s="947">
        <v>15212</v>
      </c>
      <c r="H611" s="914"/>
      <c r="I611" s="914"/>
      <c r="J611" s="915"/>
      <c r="K611" s="915"/>
    </row>
    <row r="612" spans="2:11">
      <c r="B612" s="139"/>
      <c r="C612" s="948" t="s">
        <v>1112</v>
      </c>
      <c r="D612" s="945" t="s">
        <v>1975</v>
      </c>
      <c r="E612" s="947">
        <v>12799</v>
      </c>
      <c r="F612" s="947">
        <v>13342</v>
      </c>
      <c r="H612" s="914"/>
      <c r="I612" s="914"/>
      <c r="J612" s="915"/>
      <c r="K612" s="915"/>
    </row>
    <row r="613" spans="2:11">
      <c r="B613" s="139"/>
      <c r="C613" s="948" t="s">
        <v>1270</v>
      </c>
      <c r="D613" s="945" t="s">
        <v>1976</v>
      </c>
      <c r="E613" s="947">
        <v>13169</v>
      </c>
      <c r="F613" s="947">
        <v>14095</v>
      </c>
      <c r="H613" s="914"/>
      <c r="I613" s="914"/>
      <c r="J613" s="915"/>
      <c r="K613" s="915"/>
    </row>
    <row r="614" spans="2:11">
      <c r="B614" s="139"/>
      <c r="C614" s="948" t="s">
        <v>1271</v>
      </c>
      <c r="D614" s="945" t="s">
        <v>1977</v>
      </c>
      <c r="E614" s="947">
        <v>23868</v>
      </c>
      <c r="F614" s="947">
        <v>24737</v>
      </c>
      <c r="H614" s="914"/>
      <c r="I614" s="914"/>
      <c r="J614" s="915"/>
      <c r="K614" s="915"/>
    </row>
    <row r="615" spans="2:11">
      <c r="B615" s="139"/>
      <c r="C615" s="948" t="s">
        <v>1272</v>
      </c>
      <c r="D615" s="945" t="s">
        <v>1978</v>
      </c>
      <c r="E615" s="947">
        <v>13137</v>
      </c>
      <c r="F615" s="947">
        <v>13551</v>
      </c>
      <c r="H615" s="914"/>
      <c r="I615" s="914"/>
      <c r="J615" s="915"/>
      <c r="K615" s="915"/>
    </row>
    <row r="616" spans="2:11">
      <c r="B616" s="139"/>
      <c r="C616" s="948" t="s">
        <v>1273</v>
      </c>
      <c r="D616" s="945" t="s">
        <v>1979</v>
      </c>
      <c r="E616" s="947">
        <v>11883</v>
      </c>
      <c r="F616" s="947">
        <v>12535</v>
      </c>
      <c r="H616" s="914"/>
      <c r="I616" s="914"/>
      <c r="J616" s="915"/>
      <c r="K616" s="915"/>
    </row>
    <row r="617" spans="2:11">
      <c r="B617" s="139"/>
      <c r="C617" s="948" t="s">
        <v>1274</v>
      </c>
      <c r="D617" s="945" t="s">
        <v>1980</v>
      </c>
      <c r="E617" s="947">
        <v>22037</v>
      </c>
      <c r="F617" s="947">
        <v>22394</v>
      </c>
      <c r="H617" s="914"/>
      <c r="I617" s="914"/>
      <c r="J617" s="915"/>
      <c r="K617" s="915"/>
    </row>
    <row r="618" spans="2:11">
      <c r="B618" s="139"/>
      <c r="C618" s="948" t="s">
        <v>1275</v>
      </c>
      <c r="D618" s="945" t="s">
        <v>1981</v>
      </c>
      <c r="E618" s="947">
        <v>13787</v>
      </c>
      <c r="F618" s="947">
        <v>14213</v>
      </c>
      <c r="H618" s="914"/>
      <c r="I618" s="914"/>
      <c r="J618" s="915"/>
      <c r="K618" s="915"/>
    </row>
    <row r="619" spans="2:11">
      <c r="B619" s="139"/>
      <c r="C619" s="948" t="s">
        <v>1276</v>
      </c>
      <c r="D619" s="945" t="s">
        <v>1982</v>
      </c>
      <c r="E619" s="947">
        <v>17344</v>
      </c>
      <c r="F619" s="947">
        <v>17748</v>
      </c>
      <c r="H619" s="914"/>
      <c r="I619" s="914"/>
      <c r="J619" s="915"/>
      <c r="K619" s="915"/>
    </row>
    <row r="620" spans="2:11">
      <c r="B620" s="139"/>
      <c r="C620" s="948" t="s">
        <v>1277</v>
      </c>
      <c r="D620" s="945" t="s">
        <v>1983</v>
      </c>
      <c r="E620" s="947">
        <v>22627</v>
      </c>
      <c r="F620" s="947">
        <v>23881</v>
      </c>
      <c r="H620" s="914"/>
      <c r="I620" s="914"/>
      <c r="J620" s="915"/>
      <c r="K620" s="915"/>
    </row>
    <row r="621" spans="2:11">
      <c r="B621" s="139"/>
      <c r="C621" s="948" t="s">
        <v>1278</v>
      </c>
      <c r="D621" s="945" t="s">
        <v>1984</v>
      </c>
      <c r="E621" s="947">
        <v>19798</v>
      </c>
      <c r="F621" s="947">
        <v>20774</v>
      </c>
      <c r="H621" s="914"/>
      <c r="I621" s="914"/>
      <c r="J621" s="915"/>
      <c r="K621" s="915"/>
    </row>
    <row r="622" spans="2:11">
      <c r="B622" s="139"/>
      <c r="C622" s="948" t="s">
        <v>1279</v>
      </c>
      <c r="D622" s="945" t="s">
        <v>1985</v>
      </c>
      <c r="E622" s="947">
        <v>16576</v>
      </c>
      <c r="F622" s="947">
        <v>17242</v>
      </c>
      <c r="H622" s="914"/>
      <c r="I622" s="914"/>
      <c r="J622" s="915"/>
      <c r="K622" s="915"/>
    </row>
    <row r="623" spans="2:11">
      <c r="B623" s="139"/>
      <c r="C623" s="948" t="s">
        <v>1216</v>
      </c>
      <c r="D623" s="945" t="s">
        <v>1986</v>
      </c>
      <c r="E623" s="947">
        <v>12131</v>
      </c>
      <c r="F623" s="947">
        <v>12822</v>
      </c>
      <c r="H623" s="914"/>
      <c r="I623" s="914"/>
      <c r="J623" s="915"/>
      <c r="K623" s="915"/>
    </row>
    <row r="624" spans="2:11">
      <c r="B624" s="139"/>
      <c r="C624" s="948" t="s">
        <v>1281</v>
      </c>
      <c r="D624" s="945" t="s">
        <v>1987</v>
      </c>
      <c r="E624" s="947">
        <v>14194</v>
      </c>
      <c r="F624" s="947">
        <v>14792</v>
      </c>
      <c r="H624" s="914"/>
      <c r="I624" s="914"/>
      <c r="J624" s="915"/>
      <c r="K624" s="915"/>
    </row>
    <row r="625" spans="2:11">
      <c r="B625" s="139"/>
      <c r="C625" s="948" t="s">
        <v>1282</v>
      </c>
      <c r="D625" s="945" t="s">
        <v>1988</v>
      </c>
      <c r="E625" s="947">
        <v>12403</v>
      </c>
      <c r="F625" s="947">
        <v>13160</v>
      </c>
      <c r="H625" s="914"/>
      <c r="I625" s="914"/>
      <c r="J625" s="915"/>
      <c r="K625" s="915"/>
    </row>
    <row r="626" spans="2:11">
      <c r="B626" s="139"/>
      <c r="C626" s="948" t="s">
        <v>1283</v>
      </c>
      <c r="D626" s="945" t="s">
        <v>1989</v>
      </c>
      <c r="E626" s="947">
        <v>14509</v>
      </c>
      <c r="F626" s="947">
        <v>15021</v>
      </c>
      <c r="H626" s="914"/>
      <c r="I626" s="914"/>
      <c r="J626" s="915"/>
      <c r="K626" s="915"/>
    </row>
    <row r="627" spans="2:11">
      <c r="B627" s="139"/>
      <c r="C627" s="948" t="s">
        <v>1284</v>
      </c>
      <c r="D627" s="945" t="s">
        <v>1990</v>
      </c>
      <c r="E627" s="947">
        <v>0</v>
      </c>
      <c r="F627" s="947">
        <v>0</v>
      </c>
      <c r="H627" s="914"/>
      <c r="I627" s="914"/>
      <c r="J627" s="915"/>
      <c r="K627" s="915"/>
    </row>
    <row r="628" spans="2:11">
      <c r="B628" s="139"/>
      <c r="C628" s="948" t="s">
        <v>1285</v>
      </c>
      <c r="D628" s="945" t="s">
        <v>1991</v>
      </c>
      <c r="E628" s="947">
        <v>13334</v>
      </c>
      <c r="F628" s="947">
        <v>13523</v>
      </c>
      <c r="H628" s="914"/>
      <c r="I628" s="914"/>
      <c r="J628" s="915"/>
      <c r="K628" s="915"/>
    </row>
    <row r="629" spans="2:11">
      <c r="B629" s="139"/>
      <c r="C629" s="948" t="s">
        <v>1286</v>
      </c>
      <c r="D629" s="945" t="s">
        <v>1992</v>
      </c>
      <c r="E629" s="947">
        <v>12128</v>
      </c>
      <c r="F629" s="947">
        <v>12948</v>
      </c>
      <c r="H629" s="914"/>
      <c r="I629" s="914"/>
      <c r="J629" s="915"/>
      <c r="K629" s="915"/>
    </row>
    <row r="630" spans="2:11">
      <c r="B630" s="139"/>
      <c r="C630" s="948" t="s">
        <v>1287</v>
      </c>
      <c r="D630" s="945" t="s">
        <v>1993</v>
      </c>
      <c r="E630" s="947">
        <v>15279</v>
      </c>
      <c r="F630" s="947">
        <v>15666</v>
      </c>
      <c r="H630" s="914"/>
      <c r="I630" s="914"/>
      <c r="J630" s="915"/>
      <c r="K630" s="915"/>
    </row>
    <row r="631" spans="2:11">
      <c r="B631" s="139"/>
      <c r="C631" s="948" t="s">
        <v>1288</v>
      </c>
      <c r="D631" s="945" t="s">
        <v>1994</v>
      </c>
      <c r="E631" s="947">
        <v>13591</v>
      </c>
      <c r="F631" s="947">
        <v>14060</v>
      </c>
      <c r="H631" s="914"/>
      <c r="I631" s="914"/>
      <c r="J631" s="915"/>
      <c r="K631" s="915"/>
    </row>
    <row r="632" spans="2:11">
      <c r="B632" s="139"/>
      <c r="C632" s="948" t="s">
        <v>1289</v>
      </c>
      <c r="D632" s="945" t="s">
        <v>1995</v>
      </c>
      <c r="E632" s="947">
        <v>16695</v>
      </c>
      <c r="F632" s="947">
        <v>16852</v>
      </c>
      <c r="H632" s="914"/>
      <c r="I632" s="914"/>
      <c r="J632" s="915"/>
      <c r="K632" s="915"/>
    </row>
    <row r="633" spans="2:11">
      <c r="B633" s="139"/>
      <c r="C633" s="948" t="s">
        <v>1290</v>
      </c>
      <c r="D633" s="945" t="s">
        <v>1996</v>
      </c>
      <c r="E633" s="947">
        <v>14491</v>
      </c>
      <c r="F633" s="947">
        <v>15205</v>
      </c>
      <c r="H633" s="914"/>
      <c r="I633" s="914"/>
      <c r="J633" s="915"/>
      <c r="K633" s="915"/>
    </row>
    <row r="634" spans="2:11">
      <c r="B634" s="139"/>
      <c r="C634" s="948" t="s">
        <v>1291</v>
      </c>
      <c r="D634" s="945" t="s">
        <v>1997</v>
      </c>
      <c r="E634" s="947">
        <v>13908</v>
      </c>
      <c r="F634" s="947">
        <v>14265</v>
      </c>
      <c r="H634" s="914"/>
      <c r="I634" s="914"/>
      <c r="J634" s="915"/>
      <c r="K634" s="915"/>
    </row>
    <row r="635" spans="2:11">
      <c r="B635" s="139"/>
      <c r="C635" s="948" t="s">
        <v>1292</v>
      </c>
      <c r="D635" s="945" t="s">
        <v>1998</v>
      </c>
      <c r="E635" s="947">
        <v>15848</v>
      </c>
      <c r="F635" s="947">
        <v>16957</v>
      </c>
      <c r="H635" s="914"/>
      <c r="I635" s="914"/>
      <c r="J635" s="915"/>
      <c r="K635" s="915"/>
    </row>
    <row r="636" spans="2:11">
      <c r="B636" s="139"/>
      <c r="C636" s="948" t="s">
        <v>1293</v>
      </c>
      <c r="D636" s="945" t="s">
        <v>1999</v>
      </c>
      <c r="E636" s="947">
        <v>18969</v>
      </c>
      <c r="F636" s="947">
        <v>21192</v>
      </c>
      <c r="H636" s="914"/>
      <c r="I636" s="914"/>
      <c r="J636" s="915"/>
      <c r="K636" s="915"/>
    </row>
    <row r="637" spans="2:11">
      <c r="B637" s="139"/>
      <c r="C637" s="948" t="s">
        <v>1294</v>
      </c>
      <c r="D637" s="945" t="s">
        <v>2000</v>
      </c>
      <c r="E637" s="947">
        <v>13189</v>
      </c>
      <c r="F637" s="947">
        <v>13773</v>
      </c>
      <c r="H637" s="914"/>
      <c r="I637" s="914"/>
      <c r="J637" s="915"/>
      <c r="K637" s="915"/>
    </row>
    <row r="638" spans="2:11">
      <c r="B638" s="139"/>
      <c r="C638" s="948" t="s">
        <v>1295</v>
      </c>
      <c r="D638" s="945" t="s">
        <v>2001</v>
      </c>
      <c r="E638" s="947">
        <v>10914</v>
      </c>
      <c r="F638" s="947">
        <v>11200</v>
      </c>
      <c r="H638" s="914"/>
      <c r="I638" s="914"/>
      <c r="J638" s="915"/>
      <c r="K638" s="915"/>
    </row>
    <row r="639" spans="2:11">
      <c r="B639" s="139"/>
      <c r="C639" s="948" t="s">
        <v>1296</v>
      </c>
      <c r="D639" s="945" t="s">
        <v>2002</v>
      </c>
      <c r="E639" s="947">
        <v>13217</v>
      </c>
      <c r="F639" s="947">
        <v>14014</v>
      </c>
      <c r="H639" s="914"/>
      <c r="I639" s="914"/>
      <c r="J639" s="915"/>
      <c r="K639" s="915"/>
    </row>
    <row r="640" spans="2:11">
      <c r="B640" s="139"/>
      <c r="C640" s="948" t="s">
        <v>1297</v>
      </c>
      <c r="D640" s="945" t="s">
        <v>2003</v>
      </c>
      <c r="E640" s="947">
        <v>11508</v>
      </c>
      <c r="F640" s="947">
        <v>12189</v>
      </c>
      <c r="H640" s="914"/>
      <c r="I640" s="914"/>
      <c r="J640" s="915"/>
      <c r="K640" s="915"/>
    </row>
    <row r="641" spans="2:11">
      <c r="B641" s="139"/>
      <c r="C641" s="948" t="s">
        <v>1298</v>
      </c>
      <c r="D641" s="945" t="s">
        <v>2004</v>
      </c>
      <c r="E641" s="947">
        <v>12578</v>
      </c>
      <c r="F641" s="947">
        <v>13218</v>
      </c>
      <c r="H641" s="914"/>
      <c r="I641" s="914"/>
      <c r="J641" s="915"/>
      <c r="K641" s="915"/>
    </row>
    <row r="642" spans="2:11">
      <c r="B642" s="139"/>
      <c r="C642" s="948" t="s">
        <v>1299</v>
      </c>
      <c r="D642" s="945" t="s">
        <v>2005</v>
      </c>
      <c r="E642" s="947">
        <v>11454</v>
      </c>
      <c r="F642" s="947">
        <v>11777</v>
      </c>
      <c r="H642" s="914"/>
      <c r="I642" s="914"/>
      <c r="J642" s="915"/>
      <c r="K642" s="915"/>
    </row>
    <row r="643" spans="2:11">
      <c r="B643" s="139"/>
      <c r="C643" s="948" t="s">
        <v>1300</v>
      </c>
      <c r="D643" s="945" t="s">
        <v>2006</v>
      </c>
      <c r="E643" s="947">
        <v>12382</v>
      </c>
      <c r="F643" s="947">
        <v>12798</v>
      </c>
      <c r="H643" s="914"/>
      <c r="I643" s="914"/>
      <c r="J643" s="915"/>
      <c r="K643" s="915"/>
    </row>
    <row r="644" spans="2:11">
      <c r="B644" s="139"/>
      <c r="C644" s="948" t="s">
        <v>1301</v>
      </c>
      <c r="D644" s="945" t="s">
        <v>2007</v>
      </c>
      <c r="E644" s="947">
        <v>11428</v>
      </c>
      <c r="F644" s="947">
        <v>11499</v>
      </c>
      <c r="H644" s="914"/>
      <c r="I644" s="914"/>
      <c r="J644" s="915"/>
      <c r="K644" s="915"/>
    </row>
    <row r="645" spans="2:11">
      <c r="B645" s="139"/>
      <c r="C645" s="948" t="s">
        <v>1302</v>
      </c>
      <c r="D645" s="945" t="s">
        <v>2008</v>
      </c>
      <c r="E645" s="947">
        <v>13401</v>
      </c>
      <c r="F645" s="947">
        <v>13871</v>
      </c>
      <c r="H645" s="914"/>
      <c r="I645" s="914"/>
      <c r="J645" s="915"/>
      <c r="K645" s="915"/>
    </row>
    <row r="646" spans="2:11">
      <c r="B646" s="139"/>
      <c r="C646" s="948" t="s">
        <v>1088</v>
      </c>
      <c r="D646" s="945" t="s">
        <v>2009</v>
      </c>
      <c r="E646" s="947">
        <v>16337</v>
      </c>
      <c r="F646" s="947">
        <v>16281</v>
      </c>
      <c r="H646" s="914"/>
      <c r="I646" s="914"/>
      <c r="J646" s="915"/>
      <c r="K646" s="915"/>
    </row>
    <row r="647" spans="2:11">
      <c r="B647" s="139"/>
      <c r="C647" s="948" t="s">
        <v>1303</v>
      </c>
      <c r="D647" s="945" t="s">
        <v>2010</v>
      </c>
      <c r="E647" s="947">
        <v>13226</v>
      </c>
      <c r="F647" s="947">
        <v>12996</v>
      </c>
      <c r="H647" s="914"/>
      <c r="I647" s="914"/>
      <c r="J647" s="915"/>
      <c r="K647" s="915"/>
    </row>
    <row r="648" spans="2:11">
      <c r="B648" s="139"/>
      <c r="C648" s="948" t="s">
        <v>1304</v>
      </c>
      <c r="D648" s="945" t="s">
        <v>2011</v>
      </c>
      <c r="E648" s="947">
        <v>23806</v>
      </c>
      <c r="F648" s="947">
        <v>23577</v>
      </c>
      <c r="H648" s="914"/>
      <c r="I648" s="914"/>
      <c r="J648" s="915"/>
      <c r="K648" s="915"/>
    </row>
    <row r="649" spans="2:11">
      <c r="B649" s="139"/>
      <c r="C649" s="948" t="s">
        <v>1305</v>
      </c>
      <c r="D649" s="945" t="s">
        <v>2012</v>
      </c>
      <c r="E649" s="947">
        <v>14423</v>
      </c>
      <c r="F649" s="947">
        <v>15052</v>
      </c>
      <c r="H649" s="914"/>
      <c r="I649" s="914"/>
      <c r="J649" s="915"/>
      <c r="K649" s="915"/>
    </row>
    <row r="650" spans="2:11">
      <c r="B650" s="139"/>
      <c r="C650" s="948" t="s">
        <v>1306</v>
      </c>
      <c r="D650" s="945" t="s">
        <v>2013</v>
      </c>
      <c r="E650" s="947">
        <v>17570</v>
      </c>
      <c r="F650" s="947">
        <v>18243</v>
      </c>
      <c r="H650" s="914"/>
      <c r="I650" s="914"/>
      <c r="J650" s="915"/>
      <c r="K650" s="915"/>
    </row>
    <row r="651" spans="2:11">
      <c r="B651" s="139"/>
      <c r="C651" s="948" t="s">
        <v>1307</v>
      </c>
      <c r="D651" s="945" t="s">
        <v>2014</v>
      </c>
      <c r="E651" s="947">
        <v>13916</v>
      </c>
      <c r="F651" s="947">
        <v>14423</v>
      </c>
      <c r="H651" s="914"/>
      <c r="I651" s="914"/>
      <c r="J651" s="915"/>
      <c r="K651" s="915"/>
    </row>
    <row r="652" spans="2:11">
      <c r="B652" s="139"/>
      <c r="C652" s="948" t="s">
        <v>1308</v>
      </c>
      <c r="D652" s="945" t="s">
        <v>2015</v>
      </c>
      <c r="E652" s="947">
        <v>12652</v>
      </c>
      <c r="F652" s="947">
        <v>13256</v>
      </c>
      <c r="H652" s="914"/>
      <c r="I652" s="914"/>
      <c r="J652" s="915"/>
      <c r="K652" s="915"/>
    </row>
    <row r="653" spans="2:11">
      <c r="B653" s="139"/>
      <c r="C653" s="948" t="s">
        <v>1309</v>
      </c>
      <c r="D653" s="945" t="s">
        <v>2016</v>
      </c>
      <c r="E653" s="947">
        <v>18215</v>
      </c>
      <c r="F653" s="947">
        <v>18871</v>
      </c>
      <c r="H653" s="914"/>
      <c r="I653" s="914"/>
      <c r="J653" s="915"/>
      <c r="K653" s="915"/>
    </row>
    <row r="654" spans="2:11">
      <c r="B654" s="139"/>
      <c r="C654" s="948" t="s">
        <v>1310</v>
      </c>
      <c r="D654" s="945" t="s">
        <v>2017</v>
      </c>
      <c r="E654" s="947">
        <v>13017</v>
      </c>
      <c r="F654" s="947">
        <v>13674</v>
      </c>
      <c r="H654" s="914"/>
      <c r="I654" s="914"/>
      <c r="J654" s="915"/>
      <c r="K654" s="915"/>
    </row>
    <row r="655" spans="2:11">
      <c r="B655" s="139"/>
      <c r="C655" s="948" t="s">
        <v>1311</v>
      </c>
      <c r="D655" s="945" t="s">
        <v>2018</v>
      </c>
      <c r="E655" s="947">
        <v>16035</v>
      </c>
      <c r="F655" s="947">
        <v>16582</v>
      </c>
      <c r="H655" s="914"/>
      <c r="I655" s="914"/>
      <c r="J655" s="915"/>
      <c r="K655" s="915"/>
    </row>
    <row r="656" spans="2:11">
      <c r="B656" s="139"/>
      <c r="C656" s="948" t="s">
        <v>1312</v>
      </c>
      <c r="D656" s="945" t="s">
        <v>2019</v>
      </c>
      <c r="E656" s="947">
        <v>12157</v>
      </c>
      <c r="F656" s="947">
        <v>12643</v>
      </c>
      <c r="H656" s="914"/>
      <c r="I656" s="914"/>
      <c r="J656" s="915"/>
      <c r="K656" s="915"/>
    </row>
    <row r="657" spans="2:11">
      <c r="B657" s="139"/>
      <c r="C657" s="948" t="s">
        <v>1313</v>
      </c>
      <c r="D657" s="945" t="s">
        <v>2020</v>
      </c>
      <c r="E657" s="947">
        <v>15168</v>
      </c>
      <c r="F657" s="947">
        <v>15063</v>
      </c>
      <c r="H657" s="914"/>
      <c r="I657" s="914"/>
      <c r="J657" s="915"/>
      <c r="K657" s="915"/>
    </row>
    <row r="658" spans="2:11">
      <c r="B658" s="139"/>
      <c r="C658" s="948" t="s">
        <v>1314</v>
      </c>
      <c r="D658" s="945" t="s">
        <v>2021</v>
      </c>
      <c r="E658" s="947">
        <v>22378</v>
      </c>
      <c r="F658" s="947">
        <v>23389</v>
      </c>
      <c r="H658" s="914"/>
      <c r="I658" s="914"/>
      <c r="J658" s="915"/>
      <c r="K658" s="915"/>
    </row>
    <row r="659" spans="2:11">
      <c r="B659" s="139"/>
      <c r="C659" s="948" t="s">
        <v>1315</v>
      </c>
      <c r="D659" s="945" t="s">
        <v>2022</v>
      </c>
      <c r="E659" s="947">
        <v>13050</v>
      </c>
      <c r="F659" s="947">
        <v>13016</v>
      </c>
      <c r="H659" s="914"/>
      <c r="I659" s="914"/>
      <c r="J659" s="915"/>
      <c r="K659" s="915"/>
    </row>
    <row r="660" spans="2:11">
      <c r="B660" s="139"/>
      <c r="C660" s="948" t="s">
        <v>1316</v>
      </c>
      <c r="D660" s="945" t="s">
        <v>2023</v>
      </c>
      <c r="E660" s="947">
        <v>20058</v>
      </c>
      <c r="F660" s="947">
        <v>20335</v>
      </c>
      <c r="H660" s="914"/>
      <c r="I660" s="914"/>
      <c r="J660" s="915"/>
      <c r="K660" s="915"/>
    </row>
    <row r="661" spans="2:11">
      <c r="B661" s="139"/>
      <c r="C661" s="948" t="s">
        <v>1317</v>
      </c>
      <c r="D661" s="945" t="s">
        <v>2024</v>
      </c>
      <c r="E661" s="947">
        <v>12980</v>
      </c>
      <c r="F661" s="947">
        <v>13711</v>
      </c>
      <c r="H661" s="914"/>
      <c r="I661" s="914"/>
      <c r="J661" s="915"/>
      <c r="K661" s="915"/>
    </row>
    <row r="662" spans="2:11">
      <c r="B662" s="139"/>
      <c r="C662" s="948" t="s">
        <v>1318</v>
      </c>
      <c r="D662" s="945" t="s">
        <v>2025</v>
      </c>
      <c r="E662" s="947">
        <v>12137</v>
      </c>
      <c r="F662" s="947">
        <v>12610</v>
      </c>
      <c r="H662" s="914"/>
      <c r="I662" s="914"/>
      <c r="J662" s="915"/>
      <c r="K662" s="915"/>
    </row>
    <row r="663" spans="2:11">
      <c r="B663" s="139"/>
      <c r="C663" s="948" t="s">
        <v>1319</v>
      </c>
      <c r="D663" s="945" t="s">
        <v>2026</v>
      </c>
      <c r="E663" s="947">
        <v>18604</v>
      </c>
      <c r="F663" s="947">
        <v>19367</v>
      </c>
      <c r="H663" s="914"/>
      <c r="I663" s="914"/>
      <c r="J663" s="915"/>
      <c r="K663" s="915"/>
    </row>
    <row r="664" spans="2:11">
      <c r="B664" s="139"/>
      <c r="C664" s="948" t="s">
        <v>1320</v>
      </c>
      <c r="D664" s="945" t="s">
        <v>2027</v>
      </c>
      <c r="E664" s="947">
        <v>17400</v>
      </c>
      <c r="F664" s="947">
        <v>17136</v>
      </c>
      <c r="H664" s="914"/>
      <c r="I664" s="914"/>
      <c r="J664" s="915"/>
      <c r="K664" s="915"/>
    </row>
    <row r="665" spans="2:11">
      <c r="B665" s="139"/>
      <c r="C665" s="948" t="s">
        <v>1321</v>
      </c>
      <c r="D665" s="945" t="s">
        <v>2028</v>
      </c>
      <c r="E665" s="947">
        <v>22183</v>
      </c>
      <c r="F665" s="947">
        <v>23084</v>
      </c>
      <c r="H665" s="914"/>
      <c r="I665" s="914"/>
      <c r="J665" s="915"/>
      <c r="K665" s="915"/>
    </row>
    <row r="666" spans="2:11">
      <c r="B666" s="139"/>
      <c r="C666" s="948" t="s">
        <v>1322</v>
      </c>
      <c r="D666" s="945" t="s">
        <v>2029</v>
      </c>
      <c r="E666" s="947">
        <v>14031</v>
      </c>
      <c r="F666" s="947">
        <v>14449</v>
      </c>
      <c r="H666" s="914"/>
      <c r="I666" s="914"/>
      <c r="J666" s="915"/>
      <c r="K666" s="915"/>
    </row>
    <row r="667" spans="2:11">
      <c r="B667" s="139"/>
      <c r="C667" s="948" t="s">
        <v>1323</v>
      </c>
      <c r="D667" s="945" t="s">
        <v>2030</v>
      </c>
      <c r="E667" s="947">
        <v>12500</v>
      </c>
      <c r="F667" s="947">
        <v>13105</v>
      </c>
      <c r="H667" s="914"/>
      <c r="I667" s="914"/>
      <c r="J667" s="915"/>
      <c r="K667" s="915"/>
    </row>
    <row r="668" spans="2:11">
      <c r="B668" s="139"/>
      <c r="C668" s="948" t="s">
        <v>1324</v>
      </c>
      <c r="D668" s="945" t="s">
        <v>2031</v>
      </c>
      <c r="E668" s="947">
        <v>11569</v>
      </c>
      <c r="F668" s="947">
        <v>11948</v>
      </c>
      <c r="H668" s="914"/>
      <c r="I668" s="914"/>
      <c r="J668" s="915"/>
      <c r="K668" s="915"/>
    </row>
    <row r="669" spans="2:11">
      <c r="B669" s="139"/>
      <c r="C669" s="948" t="s">
        <v>1325</v>
      </c>
      <c r="D669" s="945" t="s">
        <v>2032</v>
      </c>
      <c r="E669" s="947">
        <v>15007</v>
      </c>
      <c r="F669" s="947">
        <v>15493</v>
      </c>
      <c r="H669" s="914"/>
      <c r="I669" s="914"/>
      <c r="J669" s="915"/>
      <c r="K669" s="915"/>
    </row>
    <row r="670" spans="2:11">
      <c r="B670" s="139"/>
      <c r="C670" s="948" t="s">
        <v>1326</v>
      </c>
      <c r="D670" s="945" t="s">
        <v>2033</v>
      </c>
      <c r="E670" s="947">
        <v>16396</v>
      </c>
      <c r="F670" s="947">
        <v>17019</v>
      </c>
      <c r="H670" s="914"/>
      <c r="I670" s="914"/>
      <c r="J670" s="915"/>
      <c r="K670" s="915"/>
    </row>
    <row r="671" spans="2:11">
      <c r="B671" s="139"/>
      <c r="C671" s="948" t="s">
        <v>1327</v>
      </c>
      <c r="D671" s="945" t="s">
        <v>2034</v>
      </c>
      <c r="E671" s="947">
        <v>14433</v>
      </c>
      <c r="F671" s="947">
        <v>14870</v>
      </c>
      <c r="H671" s="914"/>
      <c r="I671" s="914"/>
      <c r="J671" s="915"/>
      <c r="K671" s="915"/>
    </row>
    <row r="672" spans="2:11">
      <c r="B672" s="139"/>
      <c r="C672" s="948" t="s">
        <v>1328</v>
      </c>
      <c r="D672" s="945" t="s">
        <v>2035</v>
      </c>
      <c r="E672" s="947">
        <v>12701</v>
      </c>
      <c r="F672" s="947">
        <v>12702</v>
      </c>
      <c r="H672" s="914"/>
      <c r="I672" s="914"/>
      <c r="J672" s="915"/>
      <c r="K672" s="915"/>
    </row>
    <row r="673" spans="2:11">
      <c r="B673" s="139"/>
      <c r="C673" s="948" t="s">
        <v>1329</v>
      </c>
      <c r="D673" s="945" t="s">
        <v>2036</v>
      </c>
      <c r="E673" s="947">
        <v>17666</v>
      </c>
      <c r="F673" s="947">
        <v>18055</v>
      </c>
      <c r="H673" s="914"/>
      <c r="I673" s="914"/>
      <c r="J673" s="915"/>
      <c r="K673" s="915"/>
    </row>
    <row r="674" spans="2:11">
      <c r="B674" s="139"/>
      <c r="C674" s="948" t="s">
        <v>1330</v>
      </c>
      <c r="D674" s="945" t="s">
        <v>2037</v>
      </c>
      <c r="E674" s="947">
        <v>12487</v>
      </c>
      <c r="F674" s="947">
        <v>12847</v>
      </c>
      <c r="H674" s="914"/>
      <c r="I674" s="914"/>
      <c r="J674" s="915"/>
      <c r="K674" s="915"/>
    </row>
    <row r="675" spans="2:11">
      <c r="B675" s="139"/>
      <c r="C675" s="948" t="s">
        <v>1331</v>
      </c>
      <c r="D675" s="945" t="s">
        <v>2038</v>
      </c>
      <c r="E675" s="947">
        <v>21016</v>
      </c>
      <c r="F675" s="947">
        <v>21703</v>
      </c>
      <c r="H675" s="914"/>
      <c r="I675" s="914"/>
      <c r="J675" s="915"/>
      <c r="K675" s="915"/>
    </row>
    <row r="676" spans="2:11">
      <c r="B676" s="139"/>
      <c r="C676" s="948" t="s">
        <v>1332</v>
      </c>
      <c r="D676" s="945" t="s">
        <v>2039</v>
      </c>
      <c r="E676" s="947">
        <v>13211</v>
      </c>
      <c r="F676" s="947">
        <v>14157</v>
      </c>
      <c r="H676" s="914"/>
      <c r="I676" s="914"/>
      <c r="J676" s="915"/>
      <c r="K676" s="915"/>
    </row>
    <row r="677" spans="2:11">
      <c r="B677" s="139"/>
      <c r="C677" s="948" t="s">
        <v>1333</v>
      </c>
      <c r="D677" s="945" t="s">
        <v>2040</v>
      </c>
      <c r="E677" s="947">
        <v>13958</v>
      </c>
      <c r="F677" s="947">
        <v>14273</v>
      </c>
      <c r="H677" s="914"/>
      <c r="I677" s="914"/>
      <c r="J677" s="915"/>
      <c r="K677" s="915"/>
    </row>
    <row r="678" spans="2:11">
      <c r="B678" s="139"/>
      <c r="C678" s="948" t="s">
        <v>1334</v>
      </c>
      <c r="D678" s="945" t="s">
        <v>2041</v>
      </c>
      <c r="E678" s="947">
        <v>19368</v>
      </c>
      <c r="F678" s="947">
        <v>20017</v>
      </c>
      <c r="H678" s="914"/>
      <c r="I678" s="914"/>
      <c r="J678" s="915"/>
      <c r="K678" s="915"/>
    </row>
    <row r="679" spans="2:11">
      <c r="B679" s="139"/>
      <c r="C679" s="948" t="s">
        <v>1335</v>
      </c>
      <c r="D679" s="945" t="s">
        <v>2042</v>
      </c>
      <c r="E679" s="947">
        <v>14616</v>
      </c>
      <c r="F679" s="947">
        <v>15097</v>
      </c>
      <c r="H679" s="914"/>
      <c r="I679" s="914"/>
      <c r="J679" s="915"/>
      <c r="K679" s="915"/>
    </row>
    <row r="680" spans="2:11">
      <c r="B680" s="139"/>
      <c r="C680" s="948" t="s">
        <v>1336</v>
      </c>
      <c r="D680" s="945" t="s">
        <v>2043</v>
      </c>
      <c r="E680" s="947">
        <v>20994</v>
      </c>
      <c r="F680" s="947">
        <v>24351</v>
      </c>
      <c r="H680" s="914"/>
      <c r="I680" s="914"/>
      <c r="J680" s="915"/>
      <c r="K680" s="915"/>
    </row>
    <row r="681" spans="2:11">
      <c r="B681" s="139"/>
      <c r="C681" s="948" t="s">
        <v>1337</v>
      </c>
      <c r="D681" s="945" t="s">
        <v>2044</v>
      </c>
      <c r="E681" s="947">
        <v>17635</v>
      </c>
      <c r="F681" s="947">
        <v>18310</v>
      </c>
      <c r="H681" s="914"/>
      <c r="I681" s="914"/>
      <c r="J681" s="915"/>
      <c r="K681" s="915"/>
    </row>
    <row r="682" spans="2:11">
      <c r="B682" s="139"/>
      <c r="C682" s="948" t="s">
        <v>1338</v>
      </c>
      <c r="D682" s="945" t="s">
        <v>2045</v>
      </c>
      <c r="E682" s="947">
        <v>16862</v>
      </c>
      <c r="F682" s="947">
        <v>18756</v>
      </c>
      <c r="H682" s="914"/>
      <c r="I682" s="914"/>
      <c r="J682" s="915"/>
      <c r="K682" s="915"/>
    </row>
    <row r="683" spans="2:11" ht="15.75" thickBot="1">
      <c r="B683" s="139"/>
      <c r="C683" s="950" t="s">
        <v>1340</v>
      </c>
      <c r="D683" s="951" t="s">
        <v>2046</v>
      </c>
      <c r="E683" s="952">
        <v>18023</v>
      </c>
      <c r="F683" s="952">
        <v>18659</v>
      </c>
      <c r="H683" s="914"/>
      <c r="I683" s="914"/>
      <c r="J683" s="915"/>
      <c r="K683" s="915"/>
    </row>
    <row r="684" spans="2:11" ht="15.75" thickTop="1"/>
  </sheetData>
  <sheetProtection algorithmName="SHA-512" hashValue="kSir7skFYOTFaBh6JkyIzkNN1D6PVKFVlWzfIDINrTfR2/11kz1dUeOc4fVnW40qcOgJQDotOlNZn9idx13exw==" saltValue="Bbwn/VTpvi8Gx0nC3U7jSQ==" spinCount="100000" sheet="1" selectLockedCells="1" selectUnlockedCells="1"/>
  <sortState xmlns:xlrd2="http://schemas.microsoft.com/office/spreadsheetml/2017/richdata2" ref="I6:I684">
    <sortCondition ref="I6:I684"/>
  </sortState>
  <conditionalFormatting sqref="E6:F683">
    <cfRule type="containsBlanks" dxfId="76" priority="1">
      <formula>LEN(TRIM(E6))=0</formula>
    </cfRule>
  </conditionalFormatting>
  <printOptions horizontalCentered="1"/>
  <pageMargins left="0.75" right="0.75" top="0.51" bottom="0.78" header="0" footer="0.5"/>
  <pageSetup scale="96" fitToHeight="12" orientation="portrait" r:id="rId1"/>
  <headerFooter alignWithMargins="0">
    <oddFooter>&amp;C&amp;"Calibri,Regular"&amp;11Page &amp;P of &amp;N</oddFooter>
  </headerFooter>
  <rowBreaks count="13" manualBreakCount="13">
    <brk id="55" max="16383" man="1"/>
    <brk id="105" max="16383" man="1"/>
    <brk id="155" max="16383" man="1"/>
    <brk id="205" max="16383" man="1"/>
    <brk id="255" max="16383" man="1"/>
    <brk id="305" max="16383" man="1"/>
    <brk id="355" max="16383" man="1"/>
    <brk id="405" max="16383" man="1"/>
    <brk id="455" max="16383" man="1"/>
    <brk id="505" max="16383" man="1"/>
    <brk id="555" max="16383" man="1"/>
    <brk id="605" max="16383" man="1"/>
    <brk id="65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3366"/>
    <pageSetUpPr fitToPage="1"/>
  </sheetPr>
  <dimension ref="A1:H59"/>
  <sheetViews>
    <sheetView showGridLines="0" topLeftCell="B9" zoomScaleNormal="100" zoomScaleSheetLayoutView="100" workbookViewId="0">
      <selection activeCell="D11" sqref="D11:E11"/>
    </sheetView>
  </sheetViews>
  <sheetFormatPr defaultColWidth="8.85546875" defaultRowHeight="15"/>
  <cols>
    <col min="1" max="1" width="3.28515625" style="1" hidden="1" customWidth="1"/>
    <col min="2" max="2" width="3.5703125" style="1" customWidth="1"/>
    <col min="3" max="3" width="26.85546875" style="1" customWidth="1"/>
    <col min="4" max="4" width="32.5703125" style="1" customWidth="1"/>
    <col min="5" max="5" width="34.85546875" style="1" customWidth="1"/>
    <col min="6" max="6" width="20.7109375" style="1" customWidth="1"/>
    <col min="7" max="16384" width="8.85546875" style="1"/>
  </cols>
  <sheetData>
    <row r="1" spans="3:7" ht="9" customHeight="1"/>
    <row r="2" spans="3:7" ht="9.75" customHeight="1"/>
    <row r="7" spans="3:7" ht="27.75" customHeight="1">
      <c r="C7" s="965" t="s">
        <v>365</v>
      </c>
      <c r="D7" s="965"/>
      <c r="E7" s="965"/>
    </row>
    <row r="9" spans="3:7" ht="45.75" customHeight="1">
      <c r="C9" s="966" t="str">
        <f>IF(D11=CONTROL!B809,"",D11)</f>
        <v/>
      </c>
      <c r="D9" s="966"/>
      <c r="E9" s="966"/>
    </row>
    <row r="10" spans="3:7" ht="21" customHeight="1">
      <c r="C10" s="26" t="s">
        <v>497</v>
      </c>
      <c r="D10"/>
      <c r="E10" s="708"/>
      <c r="F10"/>
      <c r="G10"/>
    </row>
    <row r="11" spans="3:7">
      <c r="C11" s="700" t="s">
        <v>494</v>
      </c>
      <c r="D11" s="967" t="s">
        <v>662</v>
      </c>
      <c r="E11" s="968"/>
      <c r="F11"/>
      <c r="G11"/>
    </row>
    <row r="12" spans="3:7" ht="30" customHeight="1">
      <c r="C12" s="699" t="s">
        <v>495</v>
      </c>
      <c r="F12"/>
      <c r="G12"/>
    </row>
    <row r="13" spans="3:7">
      <c r="C13" s="701" t="s">
        <v>114</v>
      </c>
      <c r="D13" s="970" t="s">
        <v>373</v>
      </c>
      <c r="E13" s="970"/>
      <c r="F13"/>
      <c r="G13"/>
    </row>
    <row r="14" spans="3:7">
      <c r="C14" s="701" t="s">
        <v>117</v>
      </c>
      <c r="D14" s="970" t="s">
        <v>374</v>
      </c>
      <c r="E14" s="970"/>
      <c r="F14"/>
      <c r="G14"/>
    </row>
    <row r="15" spans="3:7">
      <c r="C15" s="701" t="s">
        <v>115</v>
      </c>
      <c r="D15" s="970" t="s">
        <v>375</v>
      </c>
      <c r="E15" s="970"/>
      <c r="G15"/>
    </row>
    <row r="16" spans="3:7">
      <c r="C16" s="701" t="s">
        <v>116</v>
      </c>
      <c r="D16" s="971" t="s">
        <v>376</v>
      </c>
      <c r="E16" s="971"/>
      <c r="G16"/>
    </row>
    <row r="17" spans="3:8" ht="30" customHeight="1">
      <c r="C17" s="699" t="s">
        <v>496</v>
      </c>
      <c r="G17"/>
    </row>
    <row r="18" spans="3:8">
      <c r="C18" s="702" t="s">
        <v>187</v>
      </c>
      <c r="D18" s="703" t="str">
        <f>CONTROL!B16</f>
        <v>2024-25</v>
      </c>
      <c r="F18" s="425"/>
      <c r="H18"/>
    </row>
    <row r="19" spans="3:8">
      <c r="C19" s="701" t="s">
        <v>188</v>
      </c>
      <c r="D19" s="707" t="str">
        <f>IFERROR(IF(INDEX(Table2[[#All],[YrOpen]],MATCH(D11,Table2[[#All],[SCHOOLS]],0))=VALUE(LEFT(AcadYr1,4)),"Planning Year",PriorPeriod),"")</f>
        <v>2023-24</v>
      </c>
    </row>
    <row r="20" spans="3:8">
      <c r="C20" s="78"/>
      <c r="D20"/>
      <c r="E20" s="969" t="str">
        <f>CONTROL!F43</f>
        <v/>
      </c>
      <c r="F20" s="425"/>
    </row>
    <row r="21" spans="3:8">
      <c r="C21" s="26" t="s">
        <v>552</v>
      </c>
      <c r="E21" s="969"/>
      <c r="F21" s="425"/>
    </row>
    <row r="22" spans="3:8">
      <c r="C22" s="702" t="s">
        <v>554</v>
      </c>
      <c r="D22" s="703"/>
      <c r="E22" s="969"/>
    </row>
    <row r="23" spans="3:8">
      <c r="E23" s="969"/>
    </row>
    <row r="24" spans="3:8">
      <c r="C24" s="964"/>
      <c r="D24" s="964"/>
      <c r="E24" s="969"/>
    </row>
    <row r="25" spans="3:8">
      <c r="C25" s="964"/>
      <c r="D25" s="964"/>
    </row>
    <row r="26" spans="3:8">
      <c r="C26" s="964"/>
      <c r="D26" s="964"/>
    </row>
    <row r="27" spans="3:8">
      <c r="C27" s="784"/>
    </row>
    <row r="50" spans="4:4">
      <c r="D50"/>
    </row>
    <row r="51" spans="4:4">
      <c r="D51"/>
    </row>
    <row r="52" spans="4:4">
      <c r="D52"/>
    </row>
    <row r="53" spans="4:4">
      <c r="D53"/>
    </row>
    <row r="54" spans="4:4">
      <c r="D54"/>
    </row>
    <row r="55" spans="4:4">
      <c r="D55"/>
    </row>
    <row r="56" spans="4:4">
      <c r="D56"/>
    </row>
    <row r="57" spans="4:4">
      <c r="D57"/>
    </row>
    <row r="58" spans="4:4">
      <c r="D58"/>
    </row>
    <row r="59" spans="4:4">
      <c r="D59"/>
    </row>
  </sheetData>
  <sheetProtection algorithmName="SHA-512" hashValue="+zkGJf7ldtk6p3F2fA7DeDUp239UgIxp8fxirYQCW0wvpdi5SlbuTiu8Y86WwkNXORQIcxPtQu3PJxeHccqSbg==" saltValue="rVe7KQoIGPhu6EP6P4Rmug==" spinCount="100000" sheet="1" selectLockedCells="1"/>
  <sortState xmlns:xlrd2="http://schemas.microsoft.com/office/spreadsheetml/2017/richdata2" ref="D27:D31">
    <sortCondition ref="D27"/>
  </sortState>
  <customSheetViews>
    <customSheetView guid="{7E5415B2-297C-4CDE-9A5E-CCA4F5662440}" scale="150" showPageBreaks="1" printArea="1" view="pageBreakPreview">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 guid="{5E4DC421-887D-9843-8B54-CF861F76B668}" scale="150">
      <selection activeCell="D21" sqref="D21"/>
      <pageMargins left="0.7" right="0.7" top="0.75" bottom="0.75" header="0.3" footer="0.3"/>
      <printOptions horizontalCentered="1"/>
      <pageSetup scale="110" orientation="portrait"/>
      <headerFooter alignWithMargins="0">
        <oddHeader>&amp;CAttachment 31(a) - Budget</oddHeader>
        <oddFooter>&amp;LAttachment 31(a) - &amp;P</oddFooter>
      </headerFooter>
    </customSheetView>
  </customSheetViews>
  <mergeCells count="9">
    <mergeCell ref="C7:E7"/>
    <mergeCell ref="C9:E9"/>
    <mergeCell ref="D11:E11"/>
    <mergeCell ref="C24:D26"/>
    <mergeCell ref="E20:E24"/>
    <mergeCell ref="D13:E13"/>
    <mergeCell ref="D14:E14"/>
    <mergeCell ref="D15:E15"/>
    <mergeCell ref="D16:E16"/>
  </mergeCells>
  <phoneticPr fontId="5" type="noConversion"/>
  <conditionalFormatting sqref="C9">
    <cfRule type="expression" dxfId="75" priority="50">
      <formula>$C$9="Select School or Merged EdCorp from drop-down list→"</formula>
    </cfRule>
  </conditionalFormatting>
  <conditionalFormatting sqref="D11">
    <cfRule type="expression" dxfId="74" priority="3">
      <formula>$D$11=" Select from drop-down list →"</formula>
    </cfRule>
  </conditionalFormatting>
  <conditionalFormatting sqref="D13">
    <cfRule type="expression" dxfId="73" priority="5">
      <formula>$D$13="enter name"</formula>
    </cfRule>
  </conditionalFormatting>
  <conditionalFormatting sqref="D14">
    <cfRule type="expression" dxfId="72" priority="43">
      <formula>$D$14="enter title"</formula>
    </cfRule>
  </conditionalFormatting>
  <conditionalFormatting sqref="D15">
    <cfRule type="expression" dxfId="71" priority="44">
      <formula>$D$15="enter email address"</formula>
    </cfRule>
  </conditionalFormatting>
  <conditionalFormatting sqref="D16">
    <cfRule type="expression" dxfId="70" priority="45">
      <formula>$D$16="enter phone number"</formula>
    </cfRule>
  </conditionalFormatting>
  <conditionalFormatting sqref="D18">
    <cfRule type="cellIs" dxfId="69" priority="46" operator="equal">
      <formula>"Select from drop-down list →"</formula>
    </cfRule>
  </conditionalFormatting>
  <dataValidations count="2">
    <dataValidation allowBlank="1" showErrorMessage="1" prompt=" " sqref="D13:E13" xr:uid="{00000000-0002-0000-0200-000000000000}"/>
    <dataValidation type="custom" showInputMessage="1" showErrorMessage="1" errorTitle="Invalid Email Address" error="Email address missing necessary element(s) (e.g. &quot;@&quot; or &quot;.com&quot;)_x000a__x000a_Please re-enter!" sqref="D15:E15" xr:uid="{00000000-0002-0000-0200-000001000000}">
      <formula1>AND( FIND(".",D15),FIND("@",D15))</formula1>
    </dataValidation>
  </dataValidations>
  <printOptions horizontalCentered="1" verticalCentered="1"/>
  <pageMargins left="0.49" right="0.45" top="0.31" bottom="0.28000000000000003" header="0.3" footer="0.3"/>
  <pageSetup orientation="landscape" r:id="rId1"/>
  <headerFooter>
    <oddFooter>&amp;CPage &amp;P of &amp;N&amp;R&amp;F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6" r:id="rId4" name="Option Button 2">
              <controlPr defaultSize="0" autoFill="0" autoLine="0" autoPict="0">
                <anchor moveWithCells="1">
                  <from>
                    <xdr:col>3</xdr:col>
                    <xdr:colOff>552450</xdr:colOff>
                    <xdr:row>20</xdr:row>
                    <xdr:rowOff>180975</xdr:rowOff>
                  </from>
                  <to>
                    <xdr:col>3</xdr:col>
                    <xdr:colOff>1162050</xdr:colOff>
                    <xdr:row>22</xdr:row>
                    <xdr:rowOff>19050</xdr:rowOff>
                  </to>
                </anchor>
              </controlPr>
            </control>
          </mc:Choice>
        </mc:AlternateContent>
        <mc:AlternateContent xmlns:mc="http://schemas.openxmlformats.org/markup-compatibility/2006">
          <mc:Choice Requires="x14">
            <control shapeId="57347" r:id="rId5" name="Option Button 3">
              <controlPr defaultSize="0" autoFill="0" autoLine="0" autoPict="0">
                <anchor moveWithCells="1">
                  <from>
                    <xdr:col>3</xdr:col>
                    <xdr:colOff>1200150</xdr:colOff>
                    <xdr:row>20</xdr:row>
                    <xdr:rowOff>180975</xdr:rowOff>
                  </from>
                  <to>
                    <xdr:col>3</xdr:col>
                    <xdr:colOff>1809750</xdr:colOff>
                    <xdr:row>22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CONTROL!$B$809:$B$1026</xm:f>
          </x14:formula1>
          <xm:sqref>D11:E11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3366"/>
  </sheetPr>
  <dimension ref="A1:V71"/>
  <sheetViews>
    <sheetView showGridLines="0" zoomScale="70" zoomScaleNormal="70" zoomScaleSheetLayoutView="100" workbookViewId="0">
      <selection activeCell="K27" sqref="K27"/>
    </sheetView>
  </sheetViews>
  <sheetFormatPr defaultColWidth="11.85546875" defaultRowHeight="15"/>
  <cols>
    <col min="1" max="1" width="12.7109375" style="1" customWidth="1"/>
    <col min="2" max="2" width="21.5703125" style="1" customWidth="1"/>
    <col min="3" max="3" width="44.140625" style="1" customWidth="1"/>
    <col min="4" max="4" width="1.7109375" style="1" customWidth="1"/>
    <col min="5" max="5" width="13.85546875" style="1" bestFit="1" customWidth="1"/>
    <col min="6" max="6" width="1.7109375" style="1" customWidth="1"/>
    <col min="7" max="14" width="12.7109375" style="1" customWidth="1"/>
    <col min="15" max="15" width="1.7109375" style="1" customWidth="1"/>
    <col min="16" max="19" width="12.7109375" style="1" customWidth="1"/>
    <col min="20" max="20" width="1.7109375" style="1" customWidth="1"/>
    <col min="21" max="22" width="12.7109375" style="1" customWidth="1"/>
    <col min="23" max="16384" width="11.85546875" style="1"/>
  </cols>
  <sheetData>
    <row r="1" spans="1:22" ht="9" customHeight="1">
      <c r="A1" s="426"/>
      <c r="B1" s="426"/>
      <c r="C1" s="426"/>
      <c r="D1" s="426"/>
      <c r="E1" s="426"/>
      <c r="F1" s="426"/>
    </row>
    <row r="2" spans="1:22" ht="18.75">
      <c r="A2" s="426"/>
      <c r="C2" s="427"/>
      <c r="D2" s="144"/>
      <c r="E2" s="433" t="str">
        <f>IF(School="",Mssg1,School)</f>
        <v>Please enter school name on tab - "1) Name of School"</v>
      </c>
      <c r="F2" s="144"/>
      <c r="G2" s="467"/>
      <c r="H2" s="467"/>
      <c r="I2" s="467"/>
      <c r="J2" s="467"/>
      <c r="K2" s="467"/>
      <c r="L2" s="467"/>
      <c r="M2" s="467"/>
      <c r="N2" s="467"/>
      <c r="O2" s="467"/>
      <c r="P2" s="467"/>
      <c r="Q2" s="467"/>
      <c r="R2" s="467"/>
      <c r="S2" s="467"/>
    </row>
    <row r="3" spans="1:22" ht="18.75">
      <c r="A3" s="426"/>
      <c r="D3" s="467"/>
      <c r="E3" s="433" t="str">
        <f>IF(CONTROL!J12=0,Mssg2,AcadYr1)</f>
        <v>2024-25</v>
      </c>
      <c r="F3" s="467"/>
      <c r="G3" s="467"/>
      <c r="H3" s="467"/>
      <c r="I3" s="467"/>
      <c r="J3" s="467"/>
      <c r="K3" s="467"/>
      <c r="L3" s="467"/>
      <c r="M3" s="467"/>
      <c r="N3" s="467"/>
      <c r="O3" s="467"/>
      <c r="P3" s="467"/>
      <c r="Q3" s="467"/>
      <c r="R3" s="467"/>
      <c r="S3" s="467"/>
    </row>
    <row r="4" spans="1:22" ht="6.75" customHeight="1" thickBot="1">
      <c r="A4" s="426"/>
      <c r="B4" s="428"/>
      <c r="C4" s="428"/>
      <c r="D4" s="428"/>
      <c r="E4" s="428"/>
      <c r="F4" s="428"/>
      <c r="Q4" s="468"/>
    </row>
    <row r="5" spans="1:22" ht="19.5" thickBot="1">
      <c r="A5" s="426"/>
      <c r="B5" s="857"/>
      <c r="C5" s="857"/>
      <c r="D5" s="857"/>
      <c r="E5" s="856" t="s">
        <v>338</v>
      </c>
      <c r="F5" s="857"/>
      <c r="G5" s="855"/>
      <c r="H5" s="855"/>
      <c r="I5" s="855"/>
      <c r="J5" s="855"/>
      <c r="K5" s="855"/>
      <c r="L5" s="855"/>
      <c r="M5" s="855"/>
      <c r="N5" s="855"/>
      <c r="O5" s="855"/>
      <c r="P5" s="855"/>
      <c r="Q5" s="854"/>
      <c r="R5" s="855"/>
      <c r="S5" s="855"/>
      <c r="U5" s="479" t="s">
        <v>47</v>
      </c>
      <c r="V5" s="479"/>
    </row>
    <row r="6" spans="1:22" ht="8.1" customHeight="1">
      <c r="A6" s="78"/>
      <c r="B6" s="853"/>
      <c r="C6" s="853"/>
      <c r="D6" s="853"/>
      <c r="E6" s="853"/>
      <c r="F6" s="853"/>
      <c r="G6" s="153"/>
      <c r="H6" s="153"/>
      <c r="I6" s="153"/>
      <c r="J6" s="153"/>
      <c r="K6" s="153"/>
      <c r="L6" s="153"/>
      <c r="M6" s="153"/>
      <c r="N6" s="153"/>
      <c r="O6" s="153"/>
      <c r="P6" s="153"/>
      <c r="Q6" s="153"/>
      <c r="R6" s="153"/>
      <c r="S6" s="153"/>
    </row>
    <row r="7" spans="1:22" ht="18.75">
      <c r="A7" s="78"/>
      <c r="B7" s="848" t="s">
        <v>337</v>
      </c>
      <c r="C7" s="852"/>
      <c r="D7" s="481"/>
      <c r="E7" s="851" t="s">
        <v>336</v>
      </c>
      <c r="F7" s="481"/>
      <c r="G7" s="755">
        <v>1</v>
      </c>
      <c r="H7" s="755">
        <v>2</v>
      </c>
      <c r="I7" s="755">
        <v>3</v>
      </c>
      <c r="J7" s="755">
        <v>4</v>
      </c>
      <c r="K7" s="755">
        <v>5</v>
      </c>
      <c r="L7" s="755">
        <v>6</v>
      </c>
      <c r="M7" s="755">
        <v>7</v>
      </c>
      <c r="N7" s="755">
        <v>8</v>
      </c>
      <c r="O7" s="481"/>
      <c r="P7" s="755">
        <v>9</v>
      </c>
      <c r="Q7" s="755">
        <v>10</v>
      </c>
      <c r="R7" s="755">
        <v>11</v>
      </c>
      <c r="S7" s="755">
        <v>12</v>
      </c>
      <c r="U7" s="755" t="s">
        <v>567</v>
      </c>
      <c r="V7" s="755" t="s">
        <v>568</v>
      </c>
    </row>
    <row r="8" spans="1:22">
      <c r="A8" s="78"/>
      <c r="B8" s="848" t="s">
        <v>360</v>
      </c>
      <c r="C8" s="850"/>
      <c r="D8" s="481"/>
      <c r="E8" s="882"/>
      <c r="F8" s="481"/>
      <c r="G8" s="882"/>
      <c r="H8" s="882"/>
      <c r="I8" s="882"/>
      <c r="J8" s="882"/>
      <c r="K8" s="849"/>
      <c r="L8" s="849"/>
      <c r="M8" s="882"/>
      <c r="N8" s="882"/>
      <c r="O8" s="481"/>
      <c r="P8" s="882"/>
      <c r="Q8" s="882"/>
      <c r="R8" s="882"/>
      <c r="S8" s="882"/>
      <c r="U8" s="882"/>
      <c r="V8" s="882"/>
    </row>
    <row r="9" spans="1:22">
      <c r="A9" s="78"/>
      <c r="B9" s="847" t="str">
        <f>"TOTAL ENROLLMENT = "&amp;IF(SUM(E8:U8)&lt;&gt;0,SUM(E8:U8),"")</f>
        <v xml:space="preserve">TOTAL ENROLLMENT = </v>
      </c>
      <c r="C9" s="846"/>
    </row>
    <row r="10" spans="1:22">
      <c r="A10" s="78"/>
      <c r="B10" s="443"/>
      <c r="C10" s="443"/>
      <c r="D10" s="78"/>
      <c r="E10" s="473"/>
      <c r="F10" s="430"/>
      <c r="G10" s="473"/>
      <c r="H10" s="473"/>
      <c r="I10" s="473"/>
      <c r="J10" s="473"/>
      <c r="K10" s="473"/>
      <c r="L10" s="473"/>
      <c r="M10" s="473"/>
      <c r="N10" s="473"/>
      <c r="O10" s="280"/>
      <c r="P10" s="473"/>
      <c r="Q10" s="473"/>
      <c r="R10" s="473"/>
      <c r="S10" s="473"/>
    </row>
    <row r="11" spans="1:22" ht="19.5" thickBot="1">
      <c r="B11" s="845"/>
      <c r="C11" s="844"/>
      <c r="D11" s="844"/>
      <c r="E11" s="843" t="s">
        <v>339</v>
      </c>
      <c r="F11" s="844"/>
      <c r="G11" s="842"/>
      <c r="H11" s="842"/>
      <c r="I11" s="842"/>
      <c r="J11" s="842"/>
      <c r="K11" s="842"/>
      <c r="L11" s="842"/>
      <c r="M11" s="842"/>
      <c r="N11" s="842"/>
      <c r="O11" s="842"/>
      <c r="P11" s="842"/>
      <c r="Q11" s="841"/>
      <c r="R11" s="842"/>
      <c r="S11" s="840"/>
    </row>
    <row r="12" spans="1:22" ht="8.1" customHeight="1">
      <c r="B12" s="839"/>
      <c r="C12" s="482"/>
      <c r="D12" s="482" t="s">
        <v>153</v>
      </c>
      <c r="E12" s="483"/>
      <c r="F12" s="482"/>
      <c r="G12" s="484"/>
      <c r="H12" s="484"/>
      <c r="I12" s="484"/>
      <c r="J12" s="484"/>
      <c r="K12" s="484"/>
      <c r="L12" s="484"/>
      <c r="M12" s="484"/>
      <c r="N12" s="484"/>
      <c r="O12" s="484"/>
      <c r="P12" s="484"/>
      <c r="Q12" s="485"/>
      <c r="R12" s="484"/>
      <c r="S12" s="838"/>
    </row>
    <row r="13" spans="1:22" ht="31.5">
      <c r="B13" s="837"/>
      <c r="C13" s="836"/>
      <c r="D13" s="429"/>
      <c r="E13" s="835" t="s">
        <v>327</v>
      </c>
      <c r="G13" s="834" t="s">
        <v>347</v>
      </c>
      <c r="H13" s="833"/>
      <c r="I13" s="833"/>
      <c r="J13" s="833"/>
      <c r="K13" s="833"/>
      <c r="L13" s="833"/>
      <c r="M13" s="833"/>
      <c r="N13" s="832"/>
      <c r="P13" s="834" t="s">
        <v>348</v>
      </c>
      <c r="Q13" s="831"/>
      <c r="R13" s="831"/>
      <c r="S13" s="830"/>
    </row>
    <row r="14" spans="1:22" ht="15.75">
      <c r="B14" s="829"/>
      <c r="C14" s="480"/>
      <c r="D14" s="429"/>
      <c r="E14" s="835" t="s">
        <v>326</v>
      </c>
      <c r="G14" s="828" t="s">
        <v>322</v>
      </c>
      <c r="H14" s="827"/>
      <c r="I14" s="828" t="s">
        <v>323</v>
      </c>
      <c r="J14" s="827"/>
      <c r="K14" s="828" t="s">
        <v>324</v>
      </c>
      <c r="L14" s="827"/>
      <c r="M14" s="828" t="s">
        <v>325</v>
      </c>
      <c r="N14" s="827"/>
      <c r="P14" s="755" t="s">
        <v>322</v>
      </c>
      <c r="Q14" s="755" t="s">
        <v>323</v>
      </c>
      <c r="R14" s="755" t="s">
        <v>324</v>
      </c>
      <c r="S14" s="755" t="s">
        <v>325</v>
      </c>
    </row>
    <row r="15" spans="1:22" ht="15.75">
      <c r="B15" s="826"/>
      <c r="C15" s="445"/>
      <c r="D15" s="429"/>
      <c r="E15" s="835"/>
      <c r="G15" s="825" t="s">
        <v>344</v>
      </c>
      <c r="H15" s="824" t="s">
        <v>345</v>
      </c>
      <c r="I15" s="825" t="s">
        <v>344</v>
      </c>
      <c r="J15" s="824" t="s">
        <v>345</v>
      </c>
      <c r="K15" s="825" t="s">
        <v>344</v>
      </c>
      <c r="L15" s="824" t="s">
        <v>345</v>
      </c>
      <c r="M15" s="825" t="s">
        <v>344</v>
      </c>
      <c r="N15" s="824" t="s">
        <v>345</v>
      </c>
      <c r="P15" s="825" t="s">
        <v>307</v>
      </c>
      <c r="Q15" s="825" t="s">
        <v>307</v>
      </c>
      <c r="R15" s="825" t="s">
        <v>307</v>
      </c>
      <c r="S15" s="825" t="s">
        <v>307</v>
      </c>
    </row>
    <row r="16" spans="1:22">
      <c r="B16" s="848" t="s">
        <v>328</v>
      </c>
      <c r="C16" s="850"/>
      <c r="D16" s="430"/>
      <c r="E16" s="823">
        <f>COUNTIF(E22:E71,"&gt;0")</f>
        <v>0</v>
      </c>
      <c r="F16" s="475"/>
      <c r="G16" s="823">
        <f>COUNTIF(G22:G71,"&gt;0")</f>
        <v>0</v>
      </c>
      <c r="H16" s="823">
        <f t="shared" ref="H16:S16" si="0">COUNTIF(H22:H71,"&gt;0")</f>
        <v>0</v>
      </c>
      <c r="I16" s="823">
        <f t="shared" si="0"/>
        <v>0</v>
      </c>
      <c r="J16" s="823">
        <f t="shared" si="0"/>
        <v>0</v>
      </c>
      <c r="K16" s="823">
        <f t="shared" si="0"/>
        <v>0</v>
      </c>
      <c r="L16" s="823">
        <f t="shared" si="0"/>
        <v>0</v>
      </c>
      <c r="M16" s="823">
        <f t="shared" si="0"/>
        <v>0</v>
      </c>
      <c r="N16" s="823">
        <f t="shared" si="0"/>
        <v>0</v>
      </c>
      <c r="P16" s="823">
        <f t="shared" si="0"/>
        <v>0</v>
      </c>
      <c r="Q16" s="823">
        <f t="shared" si="0"/>
        <v>0</v>
      </c>
      <c r="R16" s="823">
        <f t="shared" si="0"/>
        <v>0</v>
      </c>
      <c r="S16" s="823">
        <f t="shared" si="0"/>
        <v>0</v>
      </c>
    </row>
    <row r="17" spans="1:22">
      <c r="B17" s="848" t="s">
        <v>332</v>
      </c>
      <c r="C17" s="850"/>
      <c r="D17" s="430"/>
      <c r="E17" s="823">
        <f>SUM(E22:E71)</f>
        <v>0</v>
      </c>
      <c r="F17" s="475"/>
      <c r="G17" s="823">
        <f>SUM(G22:G71)</f>
        <v>0</v>
      </c>
      <c r="H17" s="823">
        <f t="shared" ref="H17:S17" si="1">SUM(H22:H71)</f>
        <v>0</v>
      </c>
      <c r="I17" s="823">
        <f t="shared" si="1"/>
        <v>0</v>
      </c>
      <c r="J17" s="823">
        <f t="shared" si="1"/>
        <v>0</v>
      </c>
      <c r="K17" s="823">
        <f t="shared" si="1"/>
        <v>0</v>
      </c>
      <c r="L17" s="823">
        <f t="shared" si="1"/>
        <v>0</v>
      </c>
      <c r="M17" s="823">
        <f t="shared" si="1"/>
        <v>0</v>
      </c>
      <c r="N17" s="823">
        <f t="shared" si="1"/>
        <v>0</v>
      </c>
      <c r="P17" s="823">
        <f t="shared" si="1"/>
        <v>0</v>
      </c>
      <c r="Q17" s="823">
        <f t="shared" si="1"/>
        <v>0</v>
      </c>
      <c r="R17" s="823">
        <f t="shared" si="1"/>
        <v>0</v>
      </c>
      <c r="S17" s="823">
        <f t="shared" si="1"/>
        <v>0</v>
      </c>
    </row>
    <row r="18" spans="1:22" ht="46.5" customHeight="1" thickBot="1">
      <c r="B18" s="822"/>
      <c r="C18" s="431"/>
      <c r="D18" s="430"/>
      <c r="F18" s="446"/>
      <c r="G18" s="972" t="s">
        <v>513</v>
      </c>
      <c r="H18" s="973"/>
      <c r="I18" s="973"/>
      <c r="J18" s="973"/>
      <c r="K18" s="973"/>
      <c r="L18" s="973"/>
      <c r="M18" s="973"/>
      <c r="N18" s="974"/>
      <c r="P18" s="821"/>
      <c r="Q18" s="821"/>
      <c r="R18" s="821"/>
      <c r="S18" s="820"/>
    </row>
    <row r="19" spans="1:22" ht="57" thickBot="1">
      <c r="B19" s="819"/>
      <c r="C19" s="818"/>
      <c r="E19" s="835" t="s">
        <v>327</v>
      </c>
      <c r="F19" s="476"/>
      <c r="G19" s="817" t="s">
        <v>349</v>
      </c>
      <c r="H19" s="816"/>
      <c r="I19" s="815"/>
      <c r="J19" s="816"/>
      <c r="K19" s="815"/>
      <c r="L19" s="816"/>
      <c r="M19" s="815"/>
      <c r="N19" s="816"/>
      <c r="P19" s="816" t="s">
        <v>340</v>
      </c>
      <c r="Q19" s="816"/>
      <c r="R19" s="816"/>
      <c r="S19" s="816"/>
      <c r="U19" s="942" t="s">
        <v>639</v>
      </c>
      <c r="V19" s="942" t="s">
        <v>638</v>
      </c>
    </row>
    <row r="20" spans="1:22" ht="15.75" thickBot="1">
      <c r="B20" s="814"/>
      <c r="C20" s="506"/>
      <c r="E20" s="851" t="str">
        <f>PriorPeriod</f>
        <v>2023-24</v>
      </c>
      <c r="F20" s="477"/>
      <c r="G20" s="828" t="s">
        <v>322</v>
      </c>
      <c r="H20" s="827"/>
      <c r="I20" s="828" t="s">
        <v>323</v>
      </c>
      <c r="J20" s="827"/>
      <c r="K20" s="828" t="s">
        <v>324</v>
      </c>
      <c r="L20" s="827"/>
      <c r="M20" s="828" t="s">
        <v>325</v>
      </c>
      <c r="N20" s="827"/>
      <c r="P20" s="755" t="s">
        <v>322</v>
      </c>
      <c r="Q20" s="755" t="s">
        <v>323</v>
      </c>
      <c r="R20" s="755" t="s">
        <v>324</v>
      </c>
      <c r="S20" s="755" t="s">
        <v>325</v>
      </c>
      <c r="U20" s="931">
        <f>CONTROL!C103</f>
        <v>0</v>
      </c>
      <c r="V20" s="932">
        <f>CONTROL!R103</f>
        <v>0</v>
      </c>
    </row>
    <row r="21" spans="1:22" ht="45.75" thickBot="1">
      <c r="B21" s="813" t="s">
        <v>166</v>
      </c>
      <c r="C21" s="813" t="s">
        <v>165</v>
      </c>
      <c r="D21" s="26"/>
      <c r="E21" s="825" t="s">
        <v>321</v>
      </c>
      <c r="F21" s="478"/>
      <c r="G21" s="825" t="s">
        <v>320</v>
      </c>
      <c r="H21" s="825" t="s">
        <v>333</v>
      </c>
      <c r="I21" s="825" t="s">
        <v>320</v>
      </c>
      <c r="J21" s="825" t="s">
        <v>333</v>
      </c>
      <c r="K21" s="825" t="s">
        <v>320</v>
      </c>
      <c r="L21" s="825" t="s">
        <v>333</v>
      </c>
      <c r="M21" s="825" t="s">
        <v>320</v>
      </c>
      <c r="N21" s="825" t="s">
        <v>333</v>
      </c>
      <c r="P21" s="825" t="s">
        <v>321</v>
      </c>
      <c r="Q21" s="825" t="s">
        <v>321</v>
      </c>
      <c r="R21" s="825" t="s">
        <v>321</v>
      </c>
      <c r="S21" s="825" t="s">
        <v>321</v>
      </c>
      <c r="U21" s="479" t="s">
        <v>637</v>
      </c>
      <c r="V21" s="942" t="s">
        <v>659</v>
      </c>
    </row>
    <row r="22" spans="1:22">
      <c r="A22" s="432">
        <v>1</v>
      </c>
      <c r="B22" s="812" t="s">
        <v>156</v>
      </c>
      <c r="C22" s="811" t="s">
        <v>492</v>
      </c>
      <c r="D22" s="26"/>
      <c r="E22" s="882"/>
      <c r="F22" s="474"/>
      <c r="G22" s="882"/>
      <c r="H22" s="882"/>
      <c r="I22" s="882"/>
      <c r="J22" s="882"/>
      <c r="K22" s="882"/>
      <c r="L22" s="882"/>
      <c r="M22" s="882"/>
      <c r="N22" s="882"/>
      <c r="P22" s="882"/>
      <c r="Q22" s="882"/>
      <c r="R22" s="882"/>
      <c r="S22" s="882"/>
      <c r="U22" s="933">
        <f>CONTROL!C52</f>
        <v>0</v>
      </c>
      <c r="V22" s="933">
        <f>CONTROL!R52</f>
        <v>0</v>
      </c>
    </row>
    <row r="23" spans="1:22">
      <c r="A23" s="432">
        <v>2</v>
      </c>
      <c r="B23" s="812" t="s">
        <v>238</v>
      </c>
      <c r="C23" s="811" t="s">
        <v>492</v>
      </c>
      <c r="D23" s="26"/>
      <c r="E23" s="882"/>
      <c r="F23" s="474"/>
      <c r="G23" s="882"/>
      <c r="H23" s="882"/>
      <c r="I23" s="882"/>
      <c r="J23" s="882"/>
      <c r="K23" s="882"/>
      <c r="L23" s="882"/>
      <c r="M23" s="882"/>
      <c r="N23" s="882"/>
      <c r="P23" s="882"/>
      <c r="Q23" s="882"/>
      <c r="R23" s="882"/>
      <c r="S23" s="882"/>
      <c r="U23" s="933">
        <f>CONTROL!C53</f>
        <v>0</v>
      </c>
      <c r="V23" s="933">
        <f>CONTROL!R53</f>
        <v>0</v>
      </c>
    </row>
    <row r="24" spans="1:22">
      <c r="A24" s="432" t="str">
        <f>IF(OR(C23=CONTROL!$B$109,ISBLANK(C23)),"",3)</f>
        <v/>
      </c>
      <c r="B24" s="810" t="s">
        <v>239</v>
      </c>
      <c r="C24" s="811" t="s">
        <v>492</v>
      </c>
      <c r="D24" s="26"/>
      <c r="E24" s="882"/>
      <c r="F24" s="474"/>
      <c r="G24" s="882"/>
      <c r="H24" s="882"/>
      <c r="I24" s="882"/>
      <c r="J24" s="882"/>
      <c r="K24" s="882"/>
      <c r="L24" s="882"/>
      <c r="M24" s="882"/>
      <c r="N24" s="882"/>
      <c r="P24" s="882"/>
      <c r="Q24" s="882"/>
      <c r="R24" s="882"/>
      <c r="S24" s="882"/>
      <c r="U24" s="943">
        <f>CONTROL!C54</f>
        <v>0</v>
      </c>
      <c r="V24" s="943">
        <f>CONTROL!R54</f>
        <v>0</v>
      </c>
    </row>
    <row r="25" spans="1:22">
      <c r="A25" s="432" t="str">
        <f>IF(OR(A24="",C24=CONTROL!$B$109,ISBLANK(C24)),"",4)</f>
        <v/>
      </c>
      <c r="B25" s="810" t="s">
        <v>240</v>
      </c>
      <c r="C25" s="811" t="s">
        <v>492</v>
      </c>
      <c r="D25" s="2"/>
      <c r="E25" s="882"/>
      <c r="F25" s="474"/>
      <c r="G25" s="882"/>
      <c r="H25" s="882"/>
      <c r="I25" s="882"/>
      <c r="J25" s="882"/>
      <c r="K25" s="882"/>
      <c r="L25" s="882"/>
      <c r="M25" s="882"/>
      <c r="N25" s="882"/>
      <c r="P25" s="882"/>
      <c r="Q25" s="882"/>
      <c r="R25" s="882"/>
      <c r="S25" s="882"/>
      <c r="U25" s="943">
        <f>CONTROL!C55</f>
        <v>0</v>
      </c>
      <c r="V25" s="943">
        <f>CONTROL!R55</f>
        <v>0</v>
      </c>
    </row>
    <row r="26" spans="1:22">
      <c r="A26" s="432" t="str">
        <f>IF(OR(A25="",C25=CONTROL!$B$109,ISBLANK(C25)),"",5)</f>
        <v/>
      </c>
      <c r="B26" s="810" t="s">
        <v>241</v>
      </c>
      <c r="C26" s="811" t="s">
        <v>492</v>
      </c>
      <c r="D26" s="2"/>
      <c r="E26" s="882"/>
      <c r="F26" s="474"/>
      <c r="G26" s="882"/>
      <c r="H26" s="882"/>
      <c r="I26" s="882"/>
      <c r="J26" s="882"/>
      <c r="K26" s="882"/>
      <c r="L26" s="882"/>
      <c r="M26" s="882"/>
      <c r="N26" s="882"/>
      <c r="P26" s="882"/>
      <c r="Q26" s="882"/>
      <c r="R26" s="882"/>
      <c r="S26" s="882"/>
      <c r="U26" s="943">
        <f>CONTROL!C56</f>
        <v>0</v>
      </c>
      <c r="V26" s="943">
        <f>CONTROL!R56</f>
        <v>0</v>
      </c>
    </row>
    <row r="27" spans="1:22">
      <c r="A27" s="432" t="str">
        <f>IF(OR(A26="",C26=CONTROL!$B$109,ISBLANK(C26)),"",6)</f>
        <v/>
      </c>
      <c r="B27" s="810" t="s">
        <v>242</v>
      </c>
      <c r="C27" s="811" t="s">
        <v>492</v>
      </c>
      <c r="D27" s="2"/>
      <c r="E27" s="882"/>
      <c r="F27" s="474"/>
      <c r="G27" s="882"/>
      <c r="H27" s="882"/>
      <c r="I27" s="882"/>
      <c r="J27" s="882"/>
      <c r="K27" s="882"/>
      <c r="L27" s="882"/>
      <c r="M27" s="882"/>
      <c r="N27" s="882"/>
      <c r="P27" s="882"/>
      <c r="Q27" s="882"/>
      <c r="R27" s="882"/>
      <c r="S27" s="882"/>
      <c r="U27" s="943">
        <f>CONTROL!C57</f>
        <v>0</v>
      </c>
      <c r="V27" s="943">
        <f>CONTROL!R57</f>
        <v>0</v>
      </c>
    </row>
    <row r="28" spans="1:22">
      <c r="A28" s="432" t="str">
        <f>IF(OR(A27="",C27=CONTROL!$B$109,ISBLANK(C27)),"",7)</f>
        <v/>
      </c>
      <c r="B28" s="810" t="s">
        <v>243</v>
      </c>
      <c r="C28" s="811" t="s">
        <v>492</v>
      </c>
      <c r="D28" s="2"/>
      <c r="E28" s="882"/>
      <c r="F28" s="474"/>
      <c r="G28" s="882"/>
      <c r="H28" s="882"/>
      <c r="I28" s="882"/>
      <c r="J28" s="882"/>
      <c r="K28" s="882"/>
      <c r="L28" s="882"/>
      <c r="M28" s="882"/>
      <c r="N28" s="882"/>
      <c r="P28" s="882"/>
      <c r="Q28" s="882"/>
      <c r="R28" s="882"/>
      <c r="S28" s="882"/>
      <c r="U28" s="943">
        <f>CONTROL!C58</f>
        <v>0</v>
      </c>
      <c r="V28" s="943">
        <f>CONTROL!R58</f>
        <v>0</v>
      </c>
    </row>
    <row r="29" spans="1:22">
      <c r="A29" s="432" t="str">
        <f>IF(OR(A28="",C28=CONTROL!$B$109,ISBLANK(C28)),"",8)</f>
        <v/>
      </c>
      <c r="B29" s="810" t="s">
        <v>244</v>
      </c>
      <c r="C29" s="811" t="s">
        <v>492</v>
      </c>
      <c r="D29" s="2"/>
      <c r="E29" s="882"/>
      <c r="F29" s="474"/>
      <c r="G29" s="882"/>
      <c r="H29" s="882"/>
      <c r="I29" s="882"/>
      <c r="J29" s="882"/>
      <c r="K29" s="882"/>
      <c r="L29" s="882"/>
      <c r="M29" s="882"/>
      <c r="N29" s="882"/>
      <c r="P29" s="882"/>
      <c r="Q29" s="882"/>
      <c r="R29" s="882"/>
      <c r="S29" s="882"/>
      <c r="U29" s="943">
        <f>CONTROL!C59</f>
        <v>0</v>
      </c>
      <c r="V29" s="943">
        <f>CONTROL!R59</f>
        <v>0</v>
      </c>
    </row>
    <row r="30" spans="1:22">
      <c r="A30" s="432" t="str">
        <f>IF(OR(A29="",C29=CONTROL!$B$109,ISBLANK(C29)),"",9)</f>
        <v/>
      </c>
      <c r="B30" s="810" t="s">
        <v>245</v>
      </c>
      <c r="C30" s="811" t="s">
        <v>492</v>
      </c>
      <c r="D30" s="2"/>
      <c r="E30" s="882"/>
      <c r="F30" s="474"/>
      <c r="G30" s="882"/>
      <c r="H30" s="882"/>
      <c r="I30" s="882"/>
      <c r="J30" s="882"/>
      <c r="K30" s="882"/>
      <c r="L30" s="882"/>
      <c r="M30" s="882"/>
      <c r="N30" s="882"/>
      <c r="P30" s="882"/>
      <c r="Q30" s="882"/>
      <c r="R30" s="882"/>
      <c r="S30" s="882"/>
      <c r="U30" s="943">
        <f>CONTROL!C60</f>
        <v>0</v>
      </c>
      <c r="V30" s="943">
        <f>CONTROL!R60</f>
        <v>0</v>
      </c>
    </row>
    <row r="31" spans="1:22">
      <c r="A31" s="432" t="str">
        <f>IF(OR(A30="",C30=CONTROL!$B$109,ISBLANK(C30)),"",10)</f>
        <v/>
      </c>
      <c r="B31" s="810" t="s">
        <v>246</v>
      </c>
      <c r="C31" s="811" t="s">
        <v>492</v>
      </c>
      <c r="D31" s="2"/>
      <c r="E31" s="882"/>
      <c r="F31" s="474"/>
      <c r="G31" s="882"/>
      <c r="H31" s="882"/>
      <c r="I31" s="882"/>
      <c r="J31" s="882"/>
      <c r="K31" s="882"/>
      <c r="L31" s="882"/>
      <c r="M31" s="882"/>
      <c r="N31" s="882"/>
      <c r="P31" s="882"/>
      <c r="Q31" s="882"/>
      <c r="R31" s="882"/>
      <c r="S31" s="882"/>
      <c r="U31" s="943">
        <f>CONTROL!C61</f>
        <v>0</v>
      </c>
      <c r="V31" s="943">
        <f>CONTROL!R61</f>
        <v>0</v>
      </c>
    </row>
    <row r="32" spans="1:22">
      <c r="A32" s="432" t="str">
        <f>IF(OR(A31="",C31=CONTROL!$B$109,ISBLANK(C31)),"",11)</f>
        <v/>
      </c>
      <c r="B32" s="810" t="s">
        <v>247</v>
      </c>
      <c r="C32" s="811" t="s">
        <v>492</v>
      </c>
      <c r="D32" s="2"/>
      <c r="E32" s="882"/>
      <c r="F32" s="474"/>
      <c r="G32" s="882"/>
      <c r="H32" s="882"/>
      <c r="I32" s="882"/>
      <c r="J32" s="882"/>
      <c r="K32" s="882"/>
      <c r="L32" s="882"/>
      <c r="M32" s="882"/>
      <c r="N32" s="882"/>
      <c r="P32" s="882"/>
      <c r="Q32" s="882"/>
      <c r="R32" s="882"/>
      <c r="S32" s="882"/>
      <c r="U32" s="943">
        <f>CONTROL!C62</f>
        <v>0</v>
      </c>
      <c r="V32" s="943">
        <f>CONTROL!R62</f>
        <v>0</v>
      </c>
    </row>
    <row r="33" spans="1:22">
      <c r="A33" s="432" t="str">
        <f>IF(OR(A32="",C32=CONTROL!$B$109,ISBLANK(C32)),"",12)</f>
        <v/>
      </c>
      <c r="B33" s="810" t="s">
        <v>248</v>
      </c>
      <c r="C33" s="811" t="s">
        <v>492</v>
      </c>
      <c r="D33" s="2"/>
      <c r="E33" s="882"/>
      <c r="F33" s="474"/>
      <c r="G33" s="882"/>
      <c r="H33" s="882"/>
      <c r="I33" s="882"/>
      <c r="J33" s="882"/>
      <c r="K33" s="882"/>
      <c r="L33" s="882"/>
      <c r="M33" s="882"/>
      <c r="N33" s="882"/>
      <c r="P33" s="882"/>
      <c r="Q33" s="882"/>
      <c r="R33" s="882"/>
      <c r="S33" s="882"/>
      <c r="U33" s="943">
        <f>CONTROL!C63</f>
        <v>0</v>
      </c>
      <c r="V33" s="943">
        <f>CONTROL!R63</f>
        <v>0</v>
      </c>
    </row>
    <row r="34" spans="1:22">
      <c r="A34" s="432" t="str">
        <f>IF(OR(A33="",C33=CONTROL!$B$109,ISBLANK(C33)),"",13)</f>
        <v/>
      </c>
      <c r="B34" s="810" t="s">
        <v>249</v>
      </c>
      <c r="C34" s="811" t="s">
        <v>492</v>
      </c>
      <c r="D34" s="2"/>
      <c r="E34" s="882"/>
      <c r="F34" s="474"/>
      <c r="G34" s="882"/>
      <c r="H34" s="882"/>
      <c r="I34" s="882"/>
      <c r="J34" s="882"/>
      <c r="K34" s="882"/>
      <c r="L34" s="882"/>
      <c r="M34" s="882"/>
      <c r="N34" s="882"/>
      <c r="P34" s="882"/>
      <c r="Q34" s="882"/>
      <c r="R34" s="882"/>
      <c r="S34" s="882"/>
      <c r="U34" s="943">
        <f>CONTROL!C64</f>
        <v>0</v>
      </c>
      <c r="V34" s="943">
        <f>CONTROL!R64</f>
        <v>0</v>
      </c>
    </row>
    <row r="35" spans="1:22">
      <c r="A35" s="432" t="str">
        <f>IF(OR(A34="",C34=CONTROL!$B$109,ISBLANK(C34)),"",14)</f>
        <v/>
      </c>
      <c r="B35" s="810" t="s">
        <v>250</v>
      </c>
      <c r="C35" s="811" t="s">
        <v>492</v>
      </c>
      <c r="D35" s="2"/>
      <c r="E35" s="882"/>
      <c r="F35" s="474"/>
      <c r="G35" s="882"/>
      <c r="H35" s="882"/>
      <c r="I35" s="882"/>
      <c r="J35" s="882"/>
      <c r="K35" s="882"/>
      <c r="L35" s="882"/>
      <c r="M35" s="882"/>
      <c r="N35" s="882"/>
      <c r="P35" s="882"/>
      <c r="Q35" s="882"/>
      <c r="R35" s="882"/>
      <c r="S35" s="882"/>
      <c r="U35" s="943">
        <f>CONTROL!C65</f>
        <v>0</v>
      </c>
      <c r="V35" s="943">
        <f>CONTROL!R65</f>
        <v>0</v>
      </c>
    </row>
    <row r="36" spans="1:22">
      <c r="A36" s="432" t="str">
        <f>IF(OR(A35="",C35=CONTROL!$B$109,ISBLANK(C35)),"",15)</f>
        <v/>
      </c>
      <c r="B36" s="810" t="s">
        <v>251</v>
      </c>
      <c r="C36" s="811" t="s">
        <v>492</v>
      </c>
      <c r="D36" s="2"/>
      <c r="E36" s="882"/>
      <c r="F36" s="474"/>
      <c r="G36" s="882"/>
      <c r="H36" s="882"/>
      <c r="I36" s="882"/>
      <c r="J36" s="882"/>
      <c r="K36" s="882"/>
      <c r="L36" s="882"/>
      <c r="M36" s="882"/>
      <c r="N36" s="882"/>
      <c r="P36" s="882"/>
      <c r="Q36" s="882"/>
      <c r="R36" s="882"/>
      <c r="S36" s="882"/>
      <c r="U36" s="943">
        <f>CONTROL!C66</f>
        <v>0</v>
      </c>
      <c r="V36" s="943">
        <f>CONTROL!R66</f>
        <v>0</v>
      </c>
    </row>
    <row r="37" spans="1:22">
      <c r="A37" s="432" t="str">
        <f>IF(OR(A36="",C36=CONTROL!$B$109,ISBLANK(C36)),"",16)</f>
        <v/>
      </c>
      <c r="B37" s="810" t="s">
        <v>252</v>
      </c>
      <c r="C37" s="811" t="s">
        <v>492</v>
      </c>
      <c r="D37" s="2"/>
      <c r="E37" s="882"/>
      <c r="F37" s="474"/>
      <c r="G37" s="882"/>
      <c r="H37" s="882"/>
      <c r="I37" s="882"/>
      <c r="J37" s="882"/>
      <c r="K37" s="882"/>
      <c r="L37" s="882"/>
      <c r="M37" s="882"/>
      <c r="N37" s="882"/>
      <c r="P37" s="882"/>
      <c r="Q37" s="882"/>
      <c r="R37" s="882"/>
      <c r="S37" s="882"/>
      <c r="U37" s="943">
        <f>CONTROL!C67</f>
        <v>0</v>
      </c>
      <c r="V37" s="943">
        <f>CONTROL!R67</f>
        <v>0</v>
      </c>
    </row>
    <row r="38" spans="1:22">
      <c r="A38" s="432" t="str">
        <f>IF(OR(A37="",C37=CONTROL!$B$109,ISBLANK(C37)),"",17)</f>
        <v/>
      </c>
      <c r="B38" s="810" t="s">
        <v>253</v>
      </c>
      <c r="C38" s="811" t="s">
        <v>492</v>
      </c>
      <c r="D38" s="2"/>
      <c r="E38" s="882"/>
      <c r="F38" s="474"/>
      <c r="G38" s="882"/>
      <c r="H38" s="882"/>
      <c r="I38" s="882"/>
      <c r="J38" s="882"/>
      <c r="K38" s="882"/>
      <c r="L38" s="882"/>
      <c r="M38" s="882"/>
      <c r="N38" s="882"/>
      <c r="P38" s="882"/>
      <c r="Q38" s="882"/>
      <c r="R38" s="882"/>
      <c r="S38" s="882"/>
      <c r="U38" s="943">
        <f>CONTROL!C68</f>
        <v>0</v>
      </c>
      <c r="V38" s="943">
        <f>CONTROL!R68</f>
        <v>0</v>
      </c>
    </row>
    <row r="39" spans="1:22">
      <c r="A39" s="432" t="str">
        <f>IF(OR(A38="",C38=CONTROL!$B$109,ISBLANK(C38)),"",18)</f>
        <v/>
      </c>
      <c r="B39" s="810" t="s">
        <v>254</v>
      </c>
      <c r="C39" s="811" t="s">
        <v>492</v>
      </c>
      <c r="D39" s="2"/>
      <c r="E39" s="882"/>
      <c r="F39" s="474"/>
      <c r="G39" s="882"/>
      <c r="H39" s="882"/>
      <c r="I39" s="882"/>
      <c r="J39" s="882"/>
      <c r="K39" s="882"/>
      <c r="L39" s="882"/>
      <c r="M39" s="882"/>
      <c r="N39" s="882"/>
      <c r="P39" s="882"/>
      <c r="Q39" s="882"/>
      <c r="R39" s="882"/>
      <c r="S39" s="882"/>
      <c r="U39" s="943">
        <f>CONTROL!C69</f>
        <v>0</v>
      </c>
      <c r="V39" s="943">
        <f>CONTROL!R69</f>
        <v>0</v>
      </c>
    </row>
    <row r="40" spans="1:22">
      <c r="A40" s="432" t="str">
        <f>IF(OR(A39="",C39=CONTROL!$B$109,ISBLANK(C39)),"",19)</f>
        <v/>
      </c>
      <c r="B40" s="810" t="s">
        <v>255</v>
      </c>
      <c r="C40" s="811" t="s">
        <v>492</v>
      </c>
      <c r="D40" s="2"/>
      <c r="E40" s="882"/>
      <c r="F40" s="474"/>
      <c r="G40" s="882"/>
      <c r="H40" s="882"/>
      <c r="I40" s="882"/>
      <c r="J40" s="882"/>
      <c r="K40" s="882"/>
      <c r="L40" s="882"/>
      <c r="M40" s="882"/>
      <c r="N40" s="882"/>
      <c r="P40" s="882"/>
      <c r="Q40" s="882"/>
      <c r="R40" s="882"/>
      <c r="S40" s="882"/>
      <c r="U40" s="943">
        <f>CONTROL!C70</f>
        <v>0</v>
      </c>
      <c r="V40" s="943">
        <f>CONTROL!R70</f>
        <v>0</v>
      </c>
    </row>
    <row r="41" spans="1:22">
      <c r="A41" s="432" t="str">
        <f>IF(OR(A40="",C40=CONTROL!$B$109,ISBLANK(C40)),"",20)</f>
        <v/>
      </c>
      <c r="B41" s="810" t="s">
        <v>256</v>
      </c>
      <c r="C41" s="811" t="s">
        <v>492</v>
      </c>
      <c r="D41" s="2"/>
      <c r="E41" s="882"/>
      <c r="F41" s="474"/>
      <c r="G41" s="882"/>
      <c r="H41" s="882"/>
      <c r="I41" s="882"/>
      <c r="J41" s="882"/>
      <c r="K41" s="882"/>
      <c r="L41" s="882"/>
      <c r="M41" s="882"/>
      <c r="N41" s="882"/>
      <c r="P41" s="882"/>
      <c r="Q41" s="882"/>
      <c r="R41" s="882"/>
      <c r="S41" s="882"/>
      <c r="U41" s="943">
        <f>CONTROL!C71</f>
        <v>0</v>
      </c>
      <c r="V41" s="943">
        <f>CONTROL!R71</f>
        <v>0</v>
      </c>
    </row>
    <row r="42" spans="1:22">
      <c r="A42" s="432" t="str">
        <f>IF(OR(A41="",C41=CONTROL!$B$109,ISBLANK(C41)),"",21)</f>
        <v/>
      </c>
      <c r="B42" s="810" t="s">
        <v>257</v>
      </c>
      <c r="C42" s="811" t="s">
        <v>492</v>
      </c>
      <c r="D42" s="2"/>
      <c r="E42" s="882"/>
      <c r="F42" s="474"/>
      <c r="G42" s="882"/>
      <c r="H42" s="882"/>
      <c r="I42" s="882"/>
      <c r="J42" s="882"/>
      <c r="K42" s="882"/>
      <c r="L42" s="882"/>
      <c r="M42" s="882"/>
      <c r="N42" s="882"/>
      <c r="P42" s="882"/>
      <c r="Q42" s="882"/>
      <c r="R42" s="882"/>
      <c r="S42" s="882"/>
      <c r="U42" s="943">
        <f>CONTROL!C72</f>
        <v>0</v>
      </c>
      <c r="V42" s="943">
        <f>CONTROL!R72</f>
        <v>0</v>
      </c>
    </row>
    <row r="43" spans="1:22">
      <c r="A43" s="432" t="str">
        <f>IF(OR(A42="",C42=CONTROL!$B$109,ISBLANK(C42)),"",22)</f>
        <v/>
      </c>
      <c r="B43" s="810" t="s">
        <v>258</v>
      </c>
      <c r="C43" s="811" t="s">
        <v>492</v>
      </c>
      <c r="D43" s="2"/>
      <c r="E43" s="882"/>
      <c r="F43" s="474"/>
      <c r="G43" s="882"/>
      <c r="H43" s="882"/>
      <c r="I43" s="882"/>
      <c r="J43" s="882"/>
      <c r="K43" s="882"/>
      <c r="L43" s="882"/>
      <c r="M43" s="882"/>
      <c r="N43" s="882"/>
      <c r="P43" s="882"/>
      <c r="Q43" s="882"/>
      <c r="R43" s="882"/>
      <c r="S43" s="882"/>
      <c r="U43" s="943">
        <f>CONTROL!C73</f>
        <v>0</v>
      </c>
      <c r="V43" s="943">
        <f>CONTROL!R73</f>
        <v>0</v>
      </c>
    </row>
    <row r="44" spans="1:22">
      <c r="A44" s="432" t="str">
        <f>IF(OR(A43="",C43=CONTROL!$B$109,ISBLANK(C43)),"",23)</f>
        <v/>
      </c>
      <c r="B44" s="810" t="s">
        <v>259</v>
      </c>
      <c r="C44" s="811" t="s">
        <v>492</v>
      </c>
      <c r="D44" s="2"/>
      <c r="E44" s="882"/>
      <c r="F44" s="474"/>
      <c r="G44" s="882"/>
      <c r="H44" s="882"/>
      <c r="I44" s="882"/>
      <c r="J44" s="882"/>
      <c r="K44" s="882"/>
      <c r="L44" s="882"/>
      <c r="M44" s="882"/>
      <c r="N44" s="882"/>
      <c r="P44" s="882"/>
      <c r="Q44" s="882"/>
      <c r="R44" s="882"/>
      <c r="S44" s="882"/>
      <c r="U44" s="943">
        <f>CONTROL!C74</f>
        <v>0</v>
      </c>
      <c r="V44" s="943">
        <f>CONTROL!R74</f>
        <v>0</v>
      </c>
    </row>
    <row r="45" spans="1:22">
      <c r="A45" s="432" t="str">
        <f>IF(OR(A44="",C44=CONTROL!$B$109,ISBLANK(C44)),"",24)</f>
        <v/>
      </c>
      <c r="B45" s="810" t="s">
        <v>260</v>
      </c>
      <c r="C45" s="811" t="s">
        <v>492</v>
      </c>
      <c r="D45" s="2"/>
      <c r="E45" s="882"/>
      <c r="F45" s="474"/>
      <c r="G45" s="882"/>
      <c r="H45" s="882"/>
      <c r="I45" s="882"/>
      <c r="J45" s="882"/>
      <c r="K45" s="882"/>
      <c r="L45" s="882"/>
      <c r="M45" s="882"/>
      <c r="N45" s="882"/>
      <c r="P45" s="882"/>
      <c r="Q45" s="882"/>
      <c r="R45" s="882"/>
      <c r="S45" s="882"/>
      <c r="U45" s="943">
        <f>CONTROL!C75</f>
        <v>0</v>
      </c>
      <c r="V45" s="943">
        <f>CONTROL!R75</f>
        <v>0</v>
      </c>
    </row>
    <row r="46" spans="1:22">
      <c r="A46" s="432" t="str">
        <f>IF(OR(A45="",C45=CONTROL!$B$109,ISBLANK(C45)),"",25)</f>
        <v/>
      </c>
      <c r="B46" s="810" t="s">
        <v>261</v>
      </c>
      <c r="C46" s="811" t="s">
        <v>492</v>
      </c>
      <c r="D46" s="2"/>
      <c r="E46" s="882"/>
      <c r="F46" s="474"/>
      <c r="G46" s="882"/>
      <c r="H46" s="882"/>
      <c r="I46" s="882"/>
      <c r="J46" s="882"/>
      <c r="K46" s="882"/>
      <c r="L46" s="882"/>
      <c r="M46" s="882"/>
      <c r="N46" s="882"/>
      <c r="P46" s="882"/>
      <c r="Q46" s="882"/>
      <c r="R46" s="882"/>
      <c r="S46" s="882"/>
      <c r="U46" s="943">
        <f>CONTROL!C76</f>
        <v>0</v>
      </c>
      <c r="V46" s="943">
        <f>CONTROL!R76</f>
        <v>0</v>
      </c>
    </row>
    <row r="47" spans="1:22">
      <c r="A47" s="432" t="str">
        <f>IF(OR(A46="",C46=CONTROL!$B$109,ISBLANK(C46)),"",26)</f>
        <v/>
      </c>
      <c r="B47" s="810" t="s">
        <v>262</v>
      </c>
      <c r="C47" s="811" t="s">
        <v>492</v>
      </c>
      <c r="D47" s="2"/>
      <c r="E47" s="882"/>
      <c r="F47" s="474"/>
      <c r="G47" s="882"/>
      <c r="H47" s="882"/>
      <c r="I47" s="882"/>
      <c r="J47" s="882"/>
      <c r="K47" s="882"/>
      <c r="L47" s="882"/>
      <c r="M47" s="882"/>
      <c r="N47" s="882"/>
      <c r="P47" s="882"/>
      <c r="Q47" s="882"/>
      <c r="R47" s="882"/>
      <c r="S47" s="882"/>
      <c r="U47" s="943">
        <f>CONTROL!C77</f>
        <v>0</v>
      </c>
      <c r="V47" s="943">
        <f>CONTROL!R77</f>
        <v>0</v>
      </c>
    </row>
    <row r="48" spans="1:22">
      <c r="A48" s="432" t="str">
        <f>IF(OR(A47="",C47=CONTROL!$B$109,ISBLANK(C47)),"",27)</f>
        <v/>
      </c>
      <c r="B48" s="810" t="s">
        <v>263</v>
      </c>
      <c r="C48" s="811" t="s">
        <v>492</v>
      </c>
      <c r="D48" s="2"/>
      <c r="E48" s="882"/>
      <c r="F48" s="474"/>
      <c r="G48" s="882"/>
      <c r="H48" s="882"/>
      <c r="I48" s="882"/>
      <c r="J48" s="882"/>
      <c r="K48" s="882"/>
      <c r="L48" s="882"/>
      <c r="M48" s="882"/>
      <c r="N48" s="882"/>
      <c r="P48" s="882"/>
      <c r="Q48" s="882"/>
      <c r="R48" s="882"/>
      <c r="S48" s="882"/>
      <c r="U48" s="943">
        <f>CONTROL!C78</f>
        <v>0</v>
      </c>
      <c r="V48" s="943">
        <f>CONTROL!R78</f>
        <v>0</v>
      </c>
    </row>
    <row r="49" spans="1:22">
      <c r="A49" s="432" t="str">
        <f>IF(OR(A48="",C48=CONTROL!$B$109,ISBLANK(C48)),"",28)</f>
        <v/>
      </c>
      <c r="B49" s="810" t="s">
        <v>264</v>
      </c>
      <c r="C49" s="811" t="s">
        <v>492</v>
      </c>
      <c r="D49" s="2"/>
      <c r="E49" s="882"/>
      <c r="F49" s="474"/>
      <c r="G49" s="882"/>
      <c r="H49" s="882"/>
      <c r="I49" s="882"/>
      <c r="J49" s="882"/>
      <c r="K49" s="882"/>
      <c r="L49" s="882"/>
      <c r="M49" s="882"/>
      <c r="N49" s="882"/>
      <c r="P49" s="882"/>
      <c r="Q49" s="882"/>
      <c r="R49" s="882"/>
      <c r="S49" s="882"/>
      <c r="U49" s="943">
        <f>CONTROL!C79</f>
        <v>0</v>
      </c>
      <c r="V49" s="943">
        <f>CONTROL!R79</f>
        <v>0</v>
      </c>
    </row>
    <row r="50" spans="1:22">
      <c r="A50" s="432" t="str">
        <f>IF(OR(A49="",C49=CONTROL!$B$109,ISBLANK(C49)),"",29)</f>
        <v/>
      </c>
      <c r="B50" s="810" t="s">
        <v>265</v>
      </c>
      <c r="C50" s="811" t="s">
        <v>492</v>
      </c>
      <c r="D50" s="2"/>
      <c r="E50" s="882"/>
      <c r="F50" s="474"/>
      <c r="G50" s="882"/>
      <c r="H50" s="882"/>
      <c r="I50" s="882"/>
      <c r="J50" s="882"/>
      <c r="K50" s="882"/>
      <c r="L50" s="882"/>
      <c r="M50" s="882"/>
      <c r="N50" s="882"/>
      <c r="P50" s="882"/>
      <c r="Q50" s="882"/>
      <c r="R50" s="882"/>
      <c r="S50" s="882"/>
      <c r="U50" s="943">
        <f>CONTROL!C80</f>
        <v>0</v>
      </c>
      <c r="V50" s="943">
        <f>CONTROL!R80</f>
        <v>0</v>
      </c>
    </row>
    <row r="51" spans="1:22">
      <c r="A51" s="432" t="str">
        <f>IF(OR(A50="",C50=CONTROL!$B$109,ISBLANK(C50)),"",30)</f>
        <v/>
      </c>
      <c r="B51" s="810" t="s">
        <v>266</v>
      </c>
      <c r="C51" s="811" t="s">
        <v>492</v>
      </c>
      <c r="D51" s="2"/>
      <c r="E51" s="882"/>
      <c r="F51" s="474"/>
      <c r="G51" s="882"/>
      <c r="H51" s="882"/>
      <c r="I51" s="882"/>
      <c r="J51" s="882"/>
      <c r="K51" s="882"/>
      <c r="L51" s="882"/>
      <c r="M51" s="882"/>
      <c r="N51" s="882"/>
      <c r="P51" s="882"/>
      <c r="Q51" s="882"/>
      <c r="R51" s="882"/>
      <c r="S51" s="882"/>
      <c r="U51" s="943">
        <f>CONTROL!C81</f>
        <v>0</v>
      </c>
      <c r="V51" s="943">
        <f>CONTROL!R81</f>
        <v>0</v>
      </c>
    </row>
    <row r="52" spans="1:22">
      <c r="A52" s="432" t="str">
        <f>IF(OR(A51="",C51=CONTROL!$B$109,ISBLANK(C51)),"",31)</f>
        <v/>
      </c>
      <c r="B52" s="810" t="s">
        <v>267</v>
      </c>
      <c r="C52" s="811" t="s">
        <v>492</v>
      </c>
      <c r="D52" s="2"/>
      <c r="E52" s="882"/>
      <c r="F52" s="474"/>
      <c r="G52" s="882"/>
      <c r="H52" s="882"/>
      <c r="I52" s="882"/>
      <c r="J52" s="882"/>
      <c r="K52" s="882"/>
      <c r="L52" s="882"/>
      <c r="M52" s="882"/>
      <c r="N52" s="882"/>
      <c r="P52" s="882"/>
      <c r="Q52" s="882"/>
      <c r="R52" s="882"/>
      <c r="S52" s="882"/>
      <c r="U52" s="943">
        <f>CONTROL!C82</f>
        <v>0</v>
      </c>
      <c r="V52" s="943">
        <f>CONTROL!R82</f>
        <v>0</v>
      </c>
    </row>
    <row r="53" spans="1:22">
      <c r="A53" s="432" t="str">
        <f>IF(OR(A52="",C52=CONTROL!$B$109,ISBLANK(C52)),"",32)</f>
        <v/>
      </c>
      <c r="B53" s="810" t="s">
        <v>268</v>
      </c>
      <c r="C53" s="811" t="s">
        <v>492</v>
      </c>
      <c r="D53" s="2"/>
      <c r="E53" s="882"/>
      <c r="F53" s="474"/>
      <c r="G53" s="882"/>
      <c r="H53" s="882"/>
      <c r="I53" s="882"/>
      <c r="J53" s="882"/>
      <c r="K53" s="882"/>
      <c r="L53" s="882"/>
      <c r="M53" s="882"/>
      <c r="N53" s="882"/>
      <c r="P53" s="882"/>
      <c r="Q53" s="882"/>
      <c r="R53" s="882"/>
      <c r="S53" s="882"/>
      <c r="U53" s="943">
        <f>CONTROL!C83</f>
        <v>0</v>
      </c>
      <c r="V53" s="943">
        <f>CONTROL!R83</f>
        <v>0</v>
      </c>
    </row>
    <row r="54" spans="1:22">
      <c r="A54" s="432" t="str">
        <f>IF(OR(A53="",C53=CONTROL!$B$109,ISBLANK(C53)),"",33)</f>
        <v/>
      </c>
      <c r="B54" s="810" t="s">
        <v>269</v>
      </c>
      <c r="C54" s="811" t="s">
        <v>492</v>
      </c>
      <c r="D54" s="2"/>
      <c r="E54" s="882"/>
      <c r="F54" s="474"/>
      <c r="G54" s="882"/>
      <c r="H54" s="882"/>
      <c r="I54" s="882"/>
      <c r="J54" s="882"/>
      <c r="K54" s="882"/>
      <c r="L54" s="882"/>
      <c r="M54" s="882"/>
      <c r="N54" s="882"/>
      <c r="P54" s="882"/>
      <c r="Q54" s="882"/>
      <c r="R54" s="882"/>
      <c r="S54" s="882"/>
      <c r="U54" s="943">
        <f>CONTROL!C84</f>
        <v>0</v>
      </c>
      <c r="V54" s="943">
        <f>CONTROL!R84</f>
        <v>0</v>
      </c>
    </row>
    <row r="55" spans="1:22">
      <c r="A55" s="432" t="str">
        <f>IF(OR(A54="",C54=CONTROL!$B$109,ISBLANK(C54)),"",34)</f>
        <v/>
      </c>
      <c r="B55" s="810" t="s">
        <v>270</v>
      </c>
      <c r="C55" s="811" t="s">
        <v>492</v>
      </c>
      <c r="D55" s="2"/>
      <c r="E55" s="882"/>
      <c r="F55" s="474"/>
      <c r="G55" s="882"/>
      <c r="H55" s="882"/>
      <c r="I55" s="882"/>
      <c r="J55" s="882"/>
      <c r="K55" s="882"/>
      <c r="L55" s="882"/>
      <c r="M55" s="882"/>
      <c r="N55" s="882"/>
      <c r="P55" s="882"/>
      <c r="Q55" s="882"/>
      <c r="R55" s="882"/>
      <c r="S55" s="882"/>
      <c r="U55" s="943">
        <f>CONTROL!C85</f>
        <v>0</v>
      </c>
      <c r="V55" s="943">
        <f>CONTROL!R85</f>
        <v>0</v>
      </c>
    </row>
    <row r="56" spans="1:22">
      <c r="A56" s="432" t="str">
        <f>IF(OR(A55="",C55=CONTROL!$B$109,ISBLANK(C55)),"",35)</f>
        <v/>
      </c>
      <c r="B56" s="810" t="s">
        <v>271</v>
      </c>
      <c r="C56" s="811" t="s">
        <v>492</v>
      </c>
      <c r="D56" s="2"/>
      <c r="E56" s="882"/>
      <c r="F56" s="474"/>
      <c r="G56" s="882"/>
      <c r="H56" s="882"/>
      <c r="I56" s="882"/>
      <c r="J56" s="882"/>
      <c r="K56" s="882"/>
      <c r="L56" s="882"/>
      <c r="M56" s="882"/>
      <c r="N56" s="882"/>
      <c r="P56" s="882"/>
      <c r="Q56" s="882"/>
      <c r="R56" s="882"/>
      <c r="S56" s="882"/>
      <c r="U56" s="943">
        <f>CONTROL!C86</f>
        <v>0</v>
      </c>
      <c r="V56" s="943">
        <f>CONTROL!R86</f>
        <v>0</v>
      </c>
    </row>
    <row r="57" spans="1:22">
      <c r="A57" s="432" t="str">
        <f>IF(OR(A56="",C56=CONTROL!$B$109,ISBLANK(C56)),"",36)</f>
        <v/>
      </c>
      <c r="B57" s="810" t="s">
        <v>272</v>
      </c>
      <c r="C57" s="811" t="s">
        <v>492</v>
      </c>
      <c r="D57" s="2"/>
      <c r="E57" s="882"/>
      <c r="F57" s="474"/>
      <c r="G57" s="882"/>
      <c r="H57" s="882"/>
      <c r="I57" s="882"/>
      <c r="J57" s="882"/>
      <c r="K57" s="882"/>
      <c r="L57" s="882"/>
      <c r="M57" s="882"/>
      <c r="N57" s="882"/>
      <c r="P57" s="882"/>
      <c r="Q57" s="882"/>
      <c r="R57" s="882"/>
      <c r="S57" s="882"/>
      <c r="U57" s="943">
        <f>CONTROL!C87</f>
        <v>0</v>
      </c>
      <c r="V57" s="943">
        <f>CONTROL!R87</f>
        <v>0</v>
      </c>
    </row>
    <row r="58" spans="1:22">
      <c r="A58" s="432" t="str">
        <f>IF(OR(A57="",C57=CONTROL!$B$109,ISBLANK(C57)),"",37)</f>
        <v/>
      </c>
      <c r="B58" s="810" t="s">
        <v>273</v>
      </c>
      <c r="C58" s="811" t="s">
        <v>492</v>
      </c>
      <c r="D58" s="2"/>
      <c r="E58" s="882"/>
      <c r="F58" s="474"/>
      <c r="G58" s="882"/>
      <c r="H58" s="882"/>
      <c r="I58" s="882"/>
      <c r="J58" s="882"/>
      <c r="K58" s="882"/>
      <c r="L58" s="882"/>
      <c r="M58" s="882"/>
      <c r="N58" s="882"/>
      <c r="P58" s="882"/>
      <c r="Q58" s="882"/>
      <c r="R58" s="882"/>
      <c r="S58" s="882"/>
      <c r="U58" s="943">
        <f>CONTROL!C88</f>
        <v>0</v>
      </c>
      <c r="V58" s="943">
        <f>CONTROL!R88</f>
        <v>0</v>
      </c>
    </row>
    <row r="59" spans="1:22">
      <c r="A59" s="432" t="str">
        <f>IF(OR(A58="",C58=CONTROL!$B$109,ISBLANK(C58)),"",38)</f>
        <v/>
      </c>
      <c r="B59" s="810" t="s">
        <v>274</v>
      </c>
      <c r="C59" s="811" t="s">
        <v>492</v>
      </c>
      <c r="D59" s="2"/>
      <c r="E59" s="882"/>
      <c r="F59" s="474"/>
      <c r="G59" s="882"/>
      <c r="H59" s="882"/>
      <c r="I59" s="882"/>
      <c r="J59" s="882"/>
      <c r="K59" s="882"/>
      <c r="L59" s="882"/>
      <c r="M59" s="882"/>
      <c r="N59" s="882"/>
      <c r="P59" s="882"/>
      <c r="Q59" s="882"/>
      <c r="R59" s="882"/>
      <c r="S59" s="882"/>
      <c r="U59" s="943">
        <f>CONTROL!C89</f>
        <v>0</v>
      </c>
      <c r="V59" s="943">
        <f>CONTROL!R89</f>
        <v>0</v>
      </c>
    </row>
    <row r="60" spans="1:22">
      <c r="A60" s="432" t="str">
        <f>IF(OR(A59="",C59=CONTROL!$B$109,ISBLANK(C59)),"",39)</f>
        <v/>
      </c>
      <c r="B60" s="810" t="s">
        <v>275</v>
      </c>
      <c r="C60" s="811" t="s">
        <v>492</v>
      </c>
      <c r="D60" s="2"/>
      <c r="E60" s="882"/>
      <c r="F60" s="474"/>
      <c r="G60" s="882"/>
      <c r="H60" s="882"/>
      <c r="I60" s="882"/>
      <c r="J60" s="882"/>
      <c r="K60" s="882"/>
      <c r="L60" s="882"/>
      <c r="M60" s="882"/>
      <c r="N60" s="882"/>
      <c r="P60" s="882"/>
      <c r="Q60" s="882"/>
      <c r="R60" s="882"/>
      <c r="S60" s="882"/>
      <c r="U60" s="943">
        <f>CONTROL!C90</f>
        <v>0</v>
      </c>
      <c r="V60" s="943">
        <f>CONTROL!R90</f>
        <v>0</v>
      </c>
    </row>
    <row r="61" spans="1:22">
      <c r="A61" s="432" t="str">
        <f>IF(OR(A60="",C60=CONTROL!$B$109,ISBLANK(C60)),"",40)</f>
        <v/>
      </c>
      <c r="B61" s="810" t="s">
        <v>276</v>
      </c>
      <c r="C61" s="811" t="s">
        <v>492</v>
      </c>
      <c r="D61" s="2"/>
      <c r="E61" s="882"/>
      <c r="F61" s="474"/>
      <c r="G61" s="882"/>
      <c r="H61" s="882"/>
      <c r="I61" s="882"/>
      <c r="J61" s="882"/>
      <c r="K61" s="882"/>
      <c r="L61" s="882"/>
      <c r="M61" s="882"/>
      <c r="N61" s="882"/>
      <c r="P61" s="882"/>
      <c r="Q61" s="882"/>
      <c r="R61" s="882"/>
      <c r="S61" s="882"/>
      <c r="U61" s="943">
        <f>CONTROL!C91</f>
        <v>0</v>
      </c>
      <c r="V61" s="943">
        <f>CONTROL!R91</f>
        <v>0</v>
      </c>
    </row>
    <row r="62" spans="1:22">
      <c r="A62" s="432" t="str">
        <f>IF(OR(A61="",C61=CONTROL!$B$109,ISBLANK(C61)),"",41)</f>
        <v/>
      </c>
      <c r="B62" s="810" t="s">
        <v>277</v>
      </c>
      <c r="C62" s="811" t="s">
        <v>492</v>
      </c>
      <c r="D62" s="2"/>
      <c r="E62" s="882"/>
      <c r="F62" s="474"/>
      <c r="G62" s="882"/>
      <c r="H62" s="882"/>
      <c r="I62" s="882"/>
      <c r="J62" s="882"/>
      <c r="K62" s="882"/>
      <c r="L62" s="882"/>
      <c r="M62" s="882"/>
      <c r="N62" s="882"/>
      <c r="P62" s="882"/>
      <c r="Q62" s="882"/>
      <c r="R62" s="882"/>
      <c r="S62" s="882"/>
      <c r="U62" s="943">
        <f>CONTROL!C92</f>
        <v>0</v>
      </c>
      <c r="V62" s="943">
        <f>CONTROL!R92</f>
        <v>0</v>
      </c>
    </row>
    <row r="63" spans="1:22">
      <c r="A63" s="432" t="str">
        <f>IF(OR(A62="",C62=CONTROL!$B$109,ISBLANK(C62)),"",42)</f>
        <v/>
      </c>
      <c r="B63" s="810" t="s">
        <v>278</v>
      </c>
      <c r="C63" s="811" t="s">
        <v>492</v>
      </c>
      <c r="D63" s="2"/>
      <c r="E63" s="882"/>
      <c r="F63" s="474"/>
      <c r="G63" s="882"/>
      <c r="H63" s="882"/>
      <c r="I63" s="882"/>
      <c r="J63" s="882"/>
      <c r="K63" s="882"/>
      <c r="L63" s="882"/>
      <c r="M63" s="882"/>
      <c r="N63" s="882"/>
      <c r="P63" s="882"/>
      <c r="Q63" s="882"/>
      <c r="R63" s="882"/>
      <c r="S63" s="882"/>
      <c r="U63" s="943">
        <f>CONTROL!C93</f>
        <v>0</v>
      </c>
      <c r="V63" s="943">
        <f>CONTROL!R93</f>
        <v>0</v>
      </c>
    </row>
    <row r="64" spans="1:22">
      <c r="A64" s="432" t="str">
        <f>IF(OR(A63="",C63=CONTROL!$B$109,ISBLANK(C63)),"",43)</f>
        <v/>
      </c>
      <c r="B64" s="810" t="s">
        <v>279</v>
      </c>
      <c r="C64" s="811" t="s">
        <v>492</v>
      </c>
      <c r="D64" s="2"/>
      <c r="E64" s="882"/>
      <c r="F64" s="474"/>
      <c r="G64" s="882"/>
      <c r="H64" s="882"/>
      <c r="I64" s="882"/>
      <c r="J64" s="882"/>
      <c r="K64" s="882"/>
      <c r="L64" s="882"/>
      <c r="M64" s="882"/>
      <c r="N64" s="882"/>
      <c r="P64" s="882"/>
      <c r="Q64" s="882"/>
      <c r="R64" s="882"/>
      <c r="S64" s="882"/>
      <c r="U64" s="943">
        <f>CONTROL!C94</f>
        <v>0</v>
      </c>
      <c r="V64" s="943">
        <f>CONTROL!R94</f>
        <v>0</v>
      </c>
    </row>
    <row r="65" spans="1:22">
      <c r="A65" s="432" t="str">
        <f>IF(OR(A64="",C64=CONTROL!$B$109,ISBLANK(C64)),"",44)</f>
        <v/>
      </c>
      <c r="B65" s="810" t="s">
        <v>280</v>
      </c>
      <c r="C65" s="811" t="s">
        <v>492</v>
      </c>
      <c r="D65" s="2"/>
      <c r="E65" s="882"/>
      <c r="F65" s="2"/>
      <c r="G65" s="882"/>
      <c r="H65" s="882"/>
      <c r="I65" s="882"/>
      <c r="J65" s="882"/>
      <c r="K65" s="882"/>
      <c r="L65" s="882"/>
      <c r="M65" s="882"/>
      <c r="N65" s="882"/>
      <c r="O65" s="2"/>
      <c r="P65" s="882"/>
      <c r="Q65" s="882"/>
      <c r="R65" s="882"/>
      <c r="S65" s="882"/>
      <c r="U65" s="943">
        <f>CONTROL!C95</f>
        <v>0</v>
      </c>
      <c r="V65" s="943">
        <f>CONTROL!R95</f>
        <v>0</v>
      </c>
    </row>
    <row r="66" spans="1:22">
      <c r="A66" s="432" t="str">
        <f>IF(OR(A65="",C65=CONTROL!$B$109,ISBLANK(C65)),"",45)</f>
        <v/>
      </c>
      <c r="B66" s="810" t="s">
        <v>281</v>
      </c>
      <c r="C66" s="811" t="s">
        <v>492</v>
      </c>
      <c r="D66" s="2"/>
      <c r="E66" s="882"/>
      <c r="F66" s="2"/>
      <c r="G66" s="882"/>
      <c r="H66" s="882"/>
      <c r="I66" s="882"/>
      <c r="J66" s="882"/>
      <c r="K66" s="882"/>
      <c r="L66" s="882"/>
      <c r="M66" s="882"/>
      <c r="N66" s="882"/>
      <c r="O66" s="2"/>
      <c r="P66" s="882"/>
      <c r="Q66" s="882"/>
      <c r="R66" s="882"/>
      <c r="S66" s="882"/>
      <c r="U66" s="943">
        <f>CONTROL!C96</f>
        <v>0</v>
      </c>
      <c r="V66" s="943">
        <f>CONTROL!R96</f>
        <v>0</v>
      </c>
    </row>
    <row r="67" spans="1:22">
      <c r="A67" s="432" t="str">
        <f>IF(OR(A66="",C66=CONTROL!$B$109,ISBLANK(C66)),"",46)</f>
        <v/>
      </c>
      <c r="B67" s="810" t="s">
        <v>282</v>
      </c>
      <c r="C67" s="811" t="s">
        <v>492</v>
      </c>
      <c r="D67" s="2"/>
      <c r="E67" s="882"/>
      <c r="F67" s="474"/>
      <c r="G67" s="882"/>
      <c r="H67" s="882"/>
      <c r="I67" s="882"/>
      <c r="J67" s="882"/>
      <c r="K67" s="882"/>
      <c r="L67" s="882"/>
      <c r="M67" s="882"/>
      <c r="N67" s="882"/>
      <c r="P67" s="882"/>
      <c r="Q67" s="882"/>
      <c r="R67" s="882"/>
      <c r="S67" s="882"/>
      <c r="U67" s="943">
        <f>CONTROL!C97</f>
        <v>0</v>
      </c>
      <c r="V67" s="943">
        <f>CONTROL!R97</f>
        <v>0</v>
      </c>
    </row>
    <row r="68" spans="1:22">
      <c r="A68" s="432" t="str">
        <f>IF(OR(A67="",C67=CONTROL!$B$109,ISBLANK(C67)),"",47)</f>
        <v/>
      </c>
      <c r="B68" s="810" t="s">
        <v>283</v>
      </c>
      <c r="C68" s="811" t="s">
        <v>492</v>
      </c>
      <c r="D68" s="2"/>
      <c r="E68" s="882"/>
      <c r="F68" s="474"/>
      <c r="G68" s="882"/>
      <c r="H68" s="882"/>
      <c r="I68" s="882"/>
      <c r="J68" s="882"/>
      <c r="K68" s="882"/>
      <c r="L68" s="882"/>
      <c r="M68" s="882"/>
      <c r="N68" s="882"/>
      <c r="P68" s="882"/>
      <c r="Q68" s="882"/>
      <c r="R68" s="882"/>
      <c r="S68" s="882"/>
      <c r="U68" s="943">
        <f>CONTROL!C98</f>
        <v>0</v>
      </c>
      <c r="V68" s="943">
        <f>CONTROL!R98</f>
        <v>0</v>
      </c>
    </row>
    <row r="69" spans="1:22">
      <c r="A69" s="432" t="str">
        <f>IF(OR(A68="",C68=CONTROL!$B$109,ISBLANK(C68)),"",48)</f>
        <v/>
      </c>
      <c r="B69" s="810" t="s">
        <v>284</v>
      </c>
      <c r="C69" s="811" t="s">
        <v>492</v>
      </c>
      <c r="D69" s="2"/>
      <c r="E69" s="882"/>
      <c r="F69" s="474"/>
      <c r="G69" s="882"/>
      <c r="H69" s="882"/>
      <c r="I69" s="882"/>
      <c r="J69" s="882"/>
      <c r="K69" s="882"/>
      <c r="L69" s="882"/>
      <c r="M69" s="882"/>
      <c r="N69" s="882"/>
      <c r="P69" s="882"/>
      <c r="Q69" s="882"/>
      <c r="R69" s="882"/>
      <c r="S69" s="882"/>
      <c r="U69" s="943">
        <f>CONTROL!C99</f>
        <v>0</v>
      </c>
      <c r="V69" s="943">
        <f>CONTROL!R99</f>
        <v>0</v>
      </c>
    </row>
    <row r="70" spans="1:22">
      <c r="A70" s="432" t="str">
        <f>IF(OR(A69="",C69=CONTROL!$B$109,ISBLANK(C69)),"",49)</f>
        <v/>
      </c>
      <c r="B70" s="810" t="s">
        <v>285</v>
      </c>
      <c r="C70" s="811" t="s">
        <v>492</v>
      </c>
      <c r="D70" s="2"/>
      <c r="E70" s="882"/>
      <c r="F70" s="474"/>
      <c r="G70" s="882"/>
      <c r="H70" s="882"/>
      <c r="I70" s="882"/>
      <c r="J70" s="882"/>
      <c r="K70" s="882"/>
      <c r="L70" s="882"/>
      <c r="M70" s="882"/>
      <c r="N70" s="882"/>
      <c r="P70" s="882"/>
      <c r="Q70" s="882"/>
      <c r="R70" s="882"/>
      <c r="S70" s="882"/>
      <c r="U70" s="943">
        <f>CONTROL!C100</f>
        <v>0</v>
      </c>
      <c r="V70" s="943">
        <f>CONTROL!R100</f>
        <v>0</v>
      </c>
    </row>
    <row r="71" spans="1:22">
      <c r="A71" s="432" t="str">
        <f>IF(OR(A70="",C70=CONTROL!$B$109,ISBLANK(C70)),"",50)</f>
        <v/>
      </c>
      <c r="B71" s="810" t="s">
        <v>286</v>
      </c>
      <c r="C71" s="811" t="s">
        <v>492</v>
      </c>
      <c r="D71" s="809"/>
      <c r="E71" s="808"/>
      <c r="F71" s="807"/>
      <c r="G71" s="808"/>
      <c r="H71" s="808"/>
      <c r="I71" s="808"/>
      <c r="J71" s="808"/>
      <c r="K71" s="808"/>
      <c r="L71" s="808"/>
      <c r="M71" s="808"/>
      <c r="N71" s="808"/>
      <c r="O71" s="806"/>
      <c r="P71" s="808"/>
      <c r="Q71" s="808"/>
      <c r="R71" s="808"/>
      <c r="S71" s="808"/>
      <c r="U71" s="943">
        <f>CONTROL!C101</f>
        <v>0</v>
      </c>
      <c r="V71" s="943">
        <f>CONTROL!R101</f>
        <v>0</v>
      </c>
    </row>
  </sheetData>
  <sheetProtection algorithmName="SHA-512" hashValue="f7u9lU8OPlC096eCrPXha7OPu1uqIbSYpE1UjujjhD1cpiPUkEPUMhNIu/HTKMe33If/+4XEKBLUtDuxGrhAYw==" saltValue="W3BngjycVWZeQiEpumAHDA==" spinCount="100000" sheet="1" objects="1" scenarios="1"/>
  <mergeCells count="1">
    <mergeCell ref="G18:N18"/>
  </mergeCells>
  <conditionalFormatting sqref="C22:C71 B24:H24 B25:S72 O24:S24">
    <cfRule type="expression" dxfId="68" priority="35">
      <formula>ISNUMBER($A22)=FALSE</formula>
    </cfRule>
  </conditionalFormatting>
  <conditionalFormatting sqref="C22:C71">
    <cfRule type="expression" dxfId="67" priority="30">
      <formula>IF(C22&lt;&gt;"(Select from drop-down list) →",COUNTIF($C$22:$C$71,C22)&gt;1,"")</formula>
    </cfRule>
    <cfRule type="expression" dxfId="66" priority="34">
      <formula>AND(ISNUMBER($A22)=FALSE,$C22&lt;&gt;"(Select from drop-down list) →")</formula>
    </cfRule>
  </conditionalFormatting>
  <conditionalFormatting sqref="E24:E50">
    <cfRule type="expression" dxfId="65" priority="21">
      <formula>OR($C24="(Select from drop-down list)",LEN($C24)=0)</formula>
    </cfRule>
  </conditionalFormatting>
  <conditionalFormatting sqref="E22:H23 P22:S23 G23:H24 G25:N50">
    <cfRule type="expression" dxfId="64" priority="22">
      <formula>OR($C22="(Select from drop-down list)",LEN($C22)=0)</formula>
    </cfRule>
  </conditionalFormatting>
  <conditionalFormatting sqref="E24:H24 E25:N64 P24:S71 E65:E66 G65:N66 E67:N71">
    <cfRule type="expression" dxfId="63" priority="29">
      <formula>OR(LEN($A24)=0,LEN($C24)=0,$C24="(Select from drop-down list)")</formula>
    </cfRule>
  </conditionalFormatting>
  <conditionalFormatting sqref="E2:S2">
    <cfRule type="expression" dxfId="62" priority="56">
      <formula>$E$2=Mssg1</formula>
    </cfRule>
  </conditionalFormatting>
  <conditionalFormatting sqref="E3:S3">
    <cfRule type="expression" dxfId="61" priority="45">
      <formula>$E$3=Mssg2</formula>
    </cfRule>
  </conditionalFormatting>
  <conditionalFormatting sqref="I4:I5 I11:I12">
    <cfRule type="expression" dxfId="60" priority="33">
      <formula>cow</formula>
    </cfRule>
  </conditionalFormatting>
  <conditionalFormatting sqref="I22:N24">
    <cfRule type="expression" dxfId="59" priority="3">
      <formula>OR($C22="(Select from drop-down list)",LEN($C22)=0)</formula>
    </cfRule>
  </conditionalFormatting>
  <conditionalFormatting sqref="I24:N24">
    <cfRule type="expression" dxfId="58" priority="4">
      <formula>OR(LEN($A24)=0,LEN($C24)=0,$C24="(Select from drop-down list)")</formula>
    </cfRule>
    <cfRule type="expression" dxfId="57" priority="5">
      <formula>ISNUMBER($A24)=FALSE</formula>
    </cfRule>
  </conditionalFormatting>
  <conditionalFormatting sqref="U24:V71">
    <cfRule type="expression" dxfId="56" priority="2">
      <formula>ISNUMBER($A24)=FALSE</formula>
    </cfRule>
  </conditionalFormatting>
  <dataValidations count="4">
    <dataValidation type="custom" showInputMessage="1" showErrorMessage="1" errorTitle="District Name Selection" error="Please select &quot;District Name&quot; in column C from drop-down list before entering enrollment data." sqref="E22:N71" xr:uid="{00000000-0002-0000-0300-000000000000}">
      <formula1>AND($C22&lt;&gt;"(Select from drop-down list) →",ISBLANK($C22)&lt;&gt;TRUE)</formula1>
    </dataValidation>
    <dataValidation type="whole" showInputMessage="1" showErrorMessage="1" errorTitle="SCHOOL DISTRICTS" error="Please enter a number between 1 &amp; 50." sqref="D16:D18" xr:uid="{00000000-0002-0000-0300-000001000000}">
      <formula1>1</formula1>
      <formula2>50</formula2>
    </dataValidation>
    <dataValidation showInputMessage="1" showErrorMessage="1" errorTitle="SCHOOL DISTRICTS" error="Please enter a number between 1 &amp; 50." sqref="P16:S18 G18 F16:F18 E16:E17 G16:N17" xr:uid="{00000000-0002-0000-0300-000002000000}"/>
    <dataValidation type="whole" showInputMessage="1" showErrorMessage="1" sqref="D13:D15" xr:uid="{00000000-0002-0000-0300-000003000000}">
      <formula1>0</formula1>
      <formula2>50</formula2>
    </dataValidation>
  </dataValidations>
  <printOptions horizontalCentered="1"/>
  <pageMargins left="0.49" right="0.45" top="0.31" bottom="0.28000000000000003" header="0.3" footer="0.3"/>
  <pageSetup scale="53" orientation="landscape" r:id="rId1"/>
  <headerFooter>
    <oddFooter>&amp;CPage &amp;P of &amp;N&amp;R&amp;F</oddFooter>
  </headerFooter>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300-000005000000}">
          <x14:formula1>
            <xm:f>CONTROL!$B$109:$B$787</xm:f>
          </x14:formula1>
          <xm:sqref>C22:C71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3"/>
  </sheetPr>
  <dimension ref="A1:T80"/>
  <sheetViews>
    <sheetView showGridLines="0" topLeftCell="B1" zoomScale="70" zoomScaleNormal="70" zoomScaleSheetLayoutView="70" workbookViewId="0">
      <selection activeCell="J14" sqref="J14"/>
    </sheetView>
  </sheetViews>
  <sheetFormatPr defaultColWidth="8.85546875" defaultRowHeight="12.75"/>
  <cols>
    <col min="1" max="1" width="5.28515625" hidden="1" customWidth="1"/>
    <col min="2" max="2" width="40.7109375" customWidth="1"/>
    <col min="3" max="3" width="2" customWidth="1"/>
    <col min="4" max="4" width="14" bestFit="1" customWidth="1"/>
    <col min="5" max="5" width="2" customWidth="1"/>
    <col min="6" max="13" width="15.28515625" bestFit="1" customWidth="1"/>
    <col min="14" max="14" width="2" customWidth="1"/>
    <col min="15" max="18" width="14" bestFit="1" customWidth="1"/>
    <col min="19" max="19" width="2" customWidth="1"/>
    <col min="20" max="20" width="46.5703125" customWidth="1"/>
    <col min="21" max="21" width="1.7109375" customWidth="1"/>
    <col min="22" max="26" width="15.7109375" customWidth="1"/>
    <col min="27" max="27" width="2.7109375" customWidth="1"/>
    <col min="28" max="28" width="15.42578125" bestFit="1" customWidth="1"/>
    <col min="29" max="32" width="14.42578125" customWidth="1"/>
    <col min="257" max="257" width="2.42578125" customWidth="1"/>
    <col min="258" max="258" width="40.7109375" customWidth="1"/>
    <col min="259" max="259" width="2.7109375" customWidth="1"/>
    <col min="260" max="260" width="14" bestFit="1" customWidth="1"/>
    <col min="261" max="261" width="2" customWidth="1"/>
    <col min="262" max="269" width="15.28515625" bestFit="1" customWidth="1"/>
    <col min="270" max="270" width="2.7109375" customWidth="1"/>
    <col min="271" max="274" width="14" bestFit="1" customWidth="1"/>
    <col min="275" max="275" width="2.7109375" customWidth="1"/>
    <col min="276" max="276" width="62.140625" bestFit="1" customWidth="1"/>
    <col min="277" max="277" width="1.7109375" customWidth="1"/>
    <col min="278" max="282" width="15.7109375" customWidth="1"/>
    <col min="283" max="283" width="2.7109375" customWidth="1"/>
    <col min="284" max="284" width="15.42578125" bestFit="1" customWidth="1"/>
    <col min="285" max="288" width="14.42578125" customWidth="1"/>
    <col min="513" max="513" width="2.42578125" customWidth="1"/>
    <col min="514" max="514" width="40.7109375" customWidth="1"/>
    <col min="515" max="515" width="2.7109375" customWidth="1"/>
    <col min="516" max="516" width="14" bestFit="1" customWidth="1"/>
    <col min="517" max="517" width="2" customWidth="1"/>
    <col min="518" max="525" width="15.28515625" bestFit="1" customWidth="1"/>
    <col min="526" max="526" width="2.7109375" customWidth="1"/>
    <col min="527" max="530" width="14" bestFit="1" customWidth="1"/>
    <col min="531" max="531" width="2.7109375" customWidth="1"/>
    <col min="532" max="532" width="62.140625" bestFit="1" customWidth="1"/>
    <col min="533" max="533" width="1.7109375" customWidth="1"/>
    <col min="534" max="538" width="15.7109375" customWidth="1"/>
    <col min="539" max="539" width="2.7109375" customWidth="1"/>
    <col min="540" max="540" width="15.42578125" bestFit="1" customWidth="1"/>
    <col min="541" max="544" width="14.42578125" customWidth="1"/>
    <col min="769" max="769" width="2.42578125" customWidth="1"/>
    <col min="770" max="770" width="40.7109375" customWidth="1"/>
    <col min="771" max="771" width="2.7109375" customWidth="1"/>
    <col min="772" max="772" width="14" bestFit="1" customWidth="1"/>
    <col min="773" max="773" width="2" customWidth="1"/>
    <col min="774" max="781" width="15.28515625" bestFit="1" customWidth="1"/>
    <col min="782" max="782" width="2.7109375" customWidth="1"/>
    <col min="783" max="786" width="14" bestFit="1" customWidth="1"/>
    <col min="787" max="787" width="2.7109375" customWidth="1"/>
    <col min="788" max="788" width="62.140625" bestFit="1" customWidth="1"/>
    <col min="789" max="789" width="1.7109375" customWidth="1"/>
    <col min="790" max="794" width="15.7109375" customWidth="1"/>
    <col min="795" max="795" width="2.7109375" customWidth="1"/>
    <col min="796" max="796" width="15.42578125" bestFit="1" customWidth="1"/>
    <col min="797" max="800" width="14.42578125" customWidth="1"/>
    <col min="1025" max="1025" width="2.42578125" customWidth="1"/>
    <col min="1026" max="1026" width="40.7109375" customWidth="1"/>
    <col min="1027" max="1027" width="2.7109375" customWidth="1"/>
    <col min="1028" max="1028" width="14" bestFit="1" customWidth="1"/>
    <col min="1029" max="1029" width="2" customWidth="1"/>
    <col min="1030" max="1037" width="15.28515625" bestFit="1" customWidth="1"/>
    <col min="1038" max="1038" width="2.7109375" customWidth="1"/>
    <col min="1039" max="1042" width="14" bestFit="1" customWidth="1"/>
    <col min="1043" max="1043" width="2.7109375" customWidth="1"/>
    <col min="1044" max="1044" width="62.140625" bestFit="1" customWidth="1"/>
    <col min="1045" max="1045" width="1.7109375" customWidth="1"/>
    <col min="1046" max="1050" width="15.7109375" customWidth="1"/>
    <col min="1051" max="1051" width="2.7109375" customWidth="1"/>
    <col min="1052" max="1052" width="15.42578125" bestFit="1" customWidth="1"/>
    <col min="1053" max="1056" width="14.42578125" customWidth="1"/>
    <col min="1281" max="1281" width="2.42578125" customWidth="1"/>
    <col min="1282" max="1282" width="40.7109375" customWidth="1"/>
    <col min="1283" max="1283" width="2.7109375" customWidth="1"/>
    <col min="1284" max="1284" width="14" bestFit="1" customWidth="1"/>
    <col min="1285" max="1285" width="2" customWidth="1"/>
    <col min="1286" max="1293" width="15.28515625" bestFit="1" customWidth="1"/>
    <col min="1294" max="1294" width="2.7109375" customWidth="1"/>
    <col min="1295" max="1298" width="14" bestFit="1" customWidth="1"/>
    <col min="1299" max="1299" width="2.7109375" customWidth="1"/>
    <col min="1300" max="1300" width="62.140625" bestFit="1" customWidth="1"/>
    <col min="1301" max="1301" width="1.7109375" customWidth="1"/>
    <col min="1302" max="1306" width="15.7109375" customWidth="1"/>
    <col min="1307" max="1307" width="2.7109375" customWidth="1"/>
    <col min="1308" max="1308" width="15.42578125" bestFit="1" customWidth="1"/>
    <col min="1309" max="1312" width="14.42578125" customWidth="1"/>
    <col min="1537" max="1537" width="2.42578125" customWidth="1"/>
    <col min="1538" max="1538" width="40.7109375" customWidth="1"/>
    <col min="1539" max="1539" width="2.7109375" customWidth="1"/>
    <col min="1540" max="1540" width="14" bestFit="1" customWidth="1"/>
    <col min="1541" max="1541" width="2" customWidth="1"/>
    <col min="1542" max="1549" width="15.28515625" bestFit="1" customWidth="1"/>
    <col min="1550" max="1550" width="2.7109375" customWidth="1"/>
    <col min="1551" max="1554" width="14" bestFit="1" customWidth="1"/>
    <col min="1555" max="1555" width="2.7109375" customWidth="1"/>
    <col min="1556" max="1556" width="62.140625" bestFit="1" customWidth="1"/>
    <col min="1557" max="1557" width="1.7109375" customWidth="1"/>
    <col min="1558" max="1562" width="15.7109375" customWidth="1"/>
    <col min="1563" max="1563" width="2.7109375" customWidth="1"/>
    <col min="1564" max="1564" width="15.42578125" bestFit="1" customWidth="1"/>
    <col min="1565" max="1568" width="14.42578125" customWidth="1"/>
    <col min="1793" max="1793" width="2.42578125" customWidth="1"/>
    <col min="1794" max="1794" width="40.7109375" customWidth="1"/>
    <col min="1795" max="1795" width="2.7109375" customWidth="1"/>
    <col min="1796" max="1796" width="14" bestFit="1" customWidth="1"/>
    <col min="1797" max="1797" width="2" customWidth="1"/>
    <col min="1798" max="1805" width="15.28515625" bestFit="1" customWidth="1"/>
    <col min="1806" max="1806" width="2.7109375" customWidth="1"/>
    <col min="1807" max="1810" width="14" bestFit="1" customWidth="1"/>
    <col min="1811" max="1811" width="2.7109375" customWidth="1"/>
    <col min="1812" max="1812" width="62.140625" bestFit="1" customWidth="1"/>
    <col min="1813" max="1813" width="1.7109375" customWidth="1"/>
    <col min="1814" max="1818" width="15.7109375" customWidth="1"/>
    <col min="1819" max="1819" width="2.7109375" customWidth="1"/>
    <col min="1820" max="1820" width="15.42578125" bestFit="1" customWidth="1"/>
    <col min="1821" max="1824" width="14.42578125" customWidth="1"/>
    <col min="2049" max="2049" width="2.42578125" customWidth="1"/>
    <col min="2050" max="2050" width="40.7109375" customWidth="1"/>
    <col min="2051" max="2051" width="2.7109375" customWidth="1"/>
    <col min="2052" max="2052" width="14" bestFit="1" customWidth="1"/>
    <col min="2053" max="2053" width="2" customWidth="1"/>
    <col min="2054" max="2061" width="15.28515625" bestFit="1" customWidth="1"/>
    <col min="2062" max="2062" width="2.7109375" customWidth="1"/>
    <col min="2063" max="2066" width="14" bestFit="1" customWidth="1"/>
    <col min="2067" max="2067" width="2.7109375" customWidth="1"/>
    <col min="2068" max="2068" width="62.140625" bestFit="1" customWidth="1"/>
    <col min="2069" max="2069" width="1.7109375" customWidth="1"/>
    <col min="2070" max="2074" width="15.7109375" customWidth="1"/>
    <col min="2075" max="2075" width="2.7109375" customWidth="1"/>
    <col min="2076" max="2076" width="15.42578125" bestFit="1" customWidth="1"/>
    <col min="2077" max="2080" width="14.42578125" customWidth="1"/>
    <col min="2305" max="2305" width="2.42578125" customWidth="1"/>
    <col min="2306" max="2306" width="40.7109375" customWidth="1"/>
    <col min="2307" max="2307" width="2.7109375" customWidth="1"/>
    <col min="2308" max="2308" width="14" bestFit="1" customWidth="1"/>
    <col min="2309" max="2309" width="2" customWidth="1"/>
    <col min="2310" max="2317" width="15.28515625" bestFit="1" customWidth="1"/>
    <col min="2318" max="2318" width="2.7109375" customWidth="1"/>
    <col min="2319" max="2322" width="14" bestFit="1" customWidth="1"/>
    <col min="2323" max="2323" width="2.7109375" customWidth="1"/>
    <col min="2324" max="2324" width="62.140625" bestFit="1" customWidth="1"/>
    <col min="2325" max="2325" width="1.7109375" customWidth="1"/>
    <col min="2326" max="2330" width="15.7109375" customWidth="1"/>
    <col min="2331" max="2331" width="2.7109375" customWidth="1"/>
    <col min="2332" max="2332" width="15.42578125" bestFit="1" customWidth="1"/>
    <col min="2333" max="2336" width="14.42578125" customWidth="1"/>
    <col min="2561" max="2561" width="2.42578125" customWidth="1"/>
    <col min="2562" max="2562" width="40.7109375" customWidth="1"/>
    <col min="2563" max="2563" width="2.7109375" customWidth="1"/>
    <col min="2564" max="2564" width="14" bestFit="1" customWidth="1"/>
    <col min="2565" max="2565" width="2" customWidth="1"/>
    <col min="2566" max="2573" width="15.28515625" bestFit="1" customWidth="1"/>
    <col min="2574" max="2574" width="2.7109375" customWidth="1"/>
    <col min="2575" max="2578" width="14" bestFit="1" customWidth="1"/>
    <col min="2579" max="2579" width="2.7109375" customWidth="1"/>
    <col min="2580" max="2580" width="62.140625" bestFit="1" customWidth="1"/>
    <col min="2581" max="2581" width="1.7109375" customWidth="1"/>
    <col min="2582" max="2586" width="15.7109375" customWidth="1"/>
    <col min="2587" max="2587" width="2.7109375" customWidth="1"/>
    <col min="2588" max="2588" width="15.42578125" bestFit="1" customWidth="1"/>
    <col min="2589" max="2592" width="14.42578125" customWidth="1"/>
    <col min="2817" max="2817" width="2.42578125" customWidth="1"/>
    <col min="2818" max="2818" width="40.7109375" customWidth="1"/>
    <col min="2819" max="2819" width="2.7109375" customWidth="1"/>
    <col min="2820" max="2820" width="14" bestFit="1" customWidth="1"/>
    <col min="2821" max="2821" width="2" customWidth="1"/>
    <col min="2822" max="2829" width="15.28515625" bestFit="1" customWidth="1"/>
    <col min="2830" max="2830" width="2.7109375" customWidth="1"/>
    <col min="2831" max="2834" width="14" bestFit="1" customWidth="1"/>
    <col min="2835" max="2835" width="2.7109375" customWidth="1"/>
    <col min="2836" max="2836" width="62.140625" bestFit="1" customWidth="1"/>
    <col min="2837" max="2837" width="1.7109375" customWidth="1"/>
    <col min="2838" max="2842" width="15.7109375" customWidth="1"/>
    <col min="2843" max="2843" width="2.7109375" customWidth="1"/>
    <col min="2844" max="2844" width="15.42578125" bestFit="1" customWidth="1"/>
    <col min="2845" max="2848" width="14.42578125" customWidth="1"/>
    <col min="3073" max="3073" width="2.42578125" customWidth="1"/>
    <col min="3074" max="3074" width="40.7109375" customWidth="1"/>
    <col min="3075" max="3075" width="2.7109375" customWidth="1"/>
    <col min="3076" max="3076" width="14" bestFit="1" customWidth="1"/>
    <col min="3077" max="3077" width="2" customWidth="1"/>
    <col min="3078" max="3085" width="15.28515625" bestFit="1" customWidth="1"/>
    <col min="3086" max="3086" width="2.7109375" customWidth="1"/>
    <col min="3087" max="3090" width="14" bestFit="1" customWidth="1"/>
    <col min="3091" max="3091" width="2.7109375" customWidth="1"/>
    <col min="3092" max="3092" width="62.140625" bestFit="1" customWidth="1"/>
    <col min="3093" max="3093" width="1.7109375" customWidth="1"/>
    <col min="3094" max="3098" width="15.7109375" customWidth="1"/>
    <col min="3099" max="3099" width="2.7109375" customWidth="1"/>
    <col min="3100" max="3100" width="15.42578125" bestFit="1" customWidth="1"/>
    <col min="3101" max="3104" width="14.42578125" customWidth="1"/>
    <col min="3329" max="3329" width="2.42578125" customWidth="1"/>
    <col min="3330" max="3330" width="40.7109375" customWidth="1"/>
    <col min="3331" max="3331" width="2.7109375" customWidth="1"/>
    <col min="3332" max="3332" width="14" bestFit="1" customWidth="1"/>
    <col min="3333" max="3333" width="2" customWidth="1"/>
    <col min="3334" max="3341" width="15.28515625" bestFit="1" customWidth="1"/>
    <col min="3342" max="3342" width="2.7109375" customWidth="1"/>
    <col min="3343" max="3346" width="14" bestFit="1" customWidth="1"/>
    <col min="3347" max="3347" width="2.7109375" customWidth="1"/>
    <col min="3348" max="3348" width="62.140625" bestFit="1" customWidth="1"/>
    <col min="3349" max="3349" width="1.7109375" customWidth="1"/>
    <col min="3350" max="3354" width="15.7109375" customWidth="1"/>
    <col min="3355" max="3355" width="2.7109375" customWidth="1"/>
    <col min="3356" max="3356" width="15.42578125" bestFit="1" customWidth="1"/>
    <col min="3357" max="3360" width="14.42578125" customWidth="1"/>
    <col min="3585" max="3585" width="2.42578125" customWidth="1"/>
    <col min="3586" max="3586" width="40.7109375" customWidth="1"/>
    <col min="3587" max="3587" width="2.7109375" customWidth="1"/>
    <col min="3588" max="3588" width="14" bestFit="1" customWidth="1"/>
    <col min="3589" max="3589" width="2" customWidth="1"/>
    <col min="3590" max="3597" width="15.28515625" bestFit="1" customWidth="1"/>
    <col min="3598" max="3598" width="2.7109375" customWidth="1"/>
    <col min="3599" max="3602" width="14" bestFit="1" customWidth="1"/>
    <col min="3603" max="3603" width="2.7109375" customWidth="1"/>
    <col min="3604" max="3604" width="62.140625" bestFit="1" customWidth="1"/>
    <col min="3605" max="3605" width="1.7109375" customWidth="1"/>
    <col min="3606" max="3610" width="15.7109375" customWidth="1"/>
    <col min="3611" max="3611" width="2.7109375" customWidth="1"/>
    <col min="3612" max="3612" width="15.42578125" bestFit="1" customWidth="1"/>
    <col min="3613" max="3616" width="14.42578125" customWidth="1"/>
    <col min="3841" max="3841" width="2.42578125" customWidth="1"/>
    <col min="3842" max="3842" width="40.7109375" customWidth="1"/>
    <col min="3843" max="3843" width="2.7109375" customWidth="1"/>
    <col min="3844" max="3844" width="14" bestFit="1" customWidth="1"/>
    <col min="3845" max="3845" width="2" customWidth="1"/>
    <col min="3846" max="3853" width="15.28515625" bestFit="1" customWidth="1"/>
    <col min="3854" max="3854" width="2.7109375" customWidth="1"/>
    <col min="3855" max="3858" width="14" bestFit="1" customWidth="1"/>
    <col min="3859" max="3859" width="2.7109375" customWidth="1"/>
    <col min="3860" max="3860" width="62.140625" bestFit="1" customWidth="1"/>
    <col min="3861" max="3861" width="1.7109375" customWidth="1"/>
    <col min="3862" max="3866" width="15.7109375" customWidth="1"/>
    <col min="3867" max="3867" width="2.7109375" customWidth="1"/>
    <col min="3868" max="3868" width="15.42578125" bestFit="1" customWidth="1"/>
    <col min="3869" max="3872" width="14.42578125" customWidth="1"/>
    <col min="4097" max="4097" width="2.42578125" customWidth="1"/>
    <col min="4098" max="4098" width="40.7109375" customWidth="1"/>
    <col min="4099" max="4099" width="2.7109375" customWidth="1"/>
    <col min="4100" max="4100" width="14" bestFit="1" customWidth="1"/>
    <col min="4101" max="4101" width="2" customWidth="1"/>
    <col min="4102" max="4109" width="15.28515625" bestFit="1" customWidth="1"/>
    <col min="4110" max="4110" width="2.7109375" customWidth="1"/>
    <col min="4111" max="4114" width="14" bestFit="1" customWidth="1"/>
    <col min="4115" max="4115" width="2.7109375" customWidth="1"/>
    <col min="4116" max="4116" width="62.140625" bestFit="1" customWidth="1"/>
    <col min="4117" max="4117" width="1.7109375" customWidth="1"/>
    <col min="4118" max="4122" width="15.7109375" customWidth="1"/>
    <col min="4123" max="4123" width="2.7109375" customWidth="1"/>
    <col min="4124" max="4124" width="15.42578125" bestFit="1" customWidth="1"/>
    <col min="4125" max="4128" width="14.42578125" customWidth="1"/>
    <col min="4353" max="4353" width="2.42578125" customWidth="1"/>
    <col min="4354" max="4354" width="40.7109375" customWidth="1"/>
    <col min="4355" max="4355" width="2.7109375" customWidth="1"/>
    <col min="4356" max="4356" width="14" bestFit="1" customWidth="1"/>
    <col min="4357" max="4357" width="2" customWidth="1"/>
    <col min="4358" max="4365" width="15.28515625" bestFit="1" customWidth="1"/>
    <col min="4366" max="4366" width="2.7109375" customWidth="1"/>
    <col min="4367" max="4370" width="14" bestFit="1" customWidth="1"/>
    <col min="4371" max="4371" width="2.7109375" customWidth="1"/>
    <col min="4372" max="4372" width="62.140625" bestFit="1" customWidth="1"/>
    <col min="4373" max="4373" width="1.7109375" customWidth="1"/>
    <col min="4374" max="4378" width="15.7109375" customWidth="1"/>
    <col min="4379" max="4379" width="2.7109375" customWidth="1"/>
    <col min="4380" max="4380" width="15.42578125" bestFit="1" customWidth="1"/>
    <col min="4381" max="4384" width="14.42578125" customWidth="1"/>
    <col min="4609" max="4609" width="2.42578125" customWidth="1"/>
    <col min="4610" max="4610" width="40.7109375" customWidth="1"/>
    <col min="4611" max="4611" width="2.7109375" customWidth="1"/>
    <col min="4612" max="4612" width="14" bestFit="1" customWidth="1"/>
    <col min="4613" max="4613" width="2" customWidth="1"/>
    <col min="4614" max="4621" width="15.28515625" bestFit="1" customWidth="1"/>
    <col min="4622" max="4622" width="2.7109375" customWidth="1"/>
    <col min="4623" max="4626" width="14" bestFit="1" customWidth="1"/>
    <col min="4627" max="4627" width="2.7109375" customWidth="1"/>
    <col min="4628" max="4628" width="62.140625" bestFit="1" customWidth="1"/>
    <col min="4629" max="4629" width="1.7109375" customWidth="1"/>
    <col min="4630" max="4634" width="15.7109375" customWidth="1"/>
    <col min="4635" max="4635" width="2.7109375" customWidth="1"/>
    <col min="4636" max="4636" width="15.42578125" bestFit="1" customWidth="1"/>
    <col min="4637" max="4640" width="14.42578125" customWidth="1"/>
    <col min="4865" max="4865" width="2.42578125" customWidth="1"/>
    <col min="4866" max="4866" width="40.7109375" customWidth="1"/>
    <col min="4867" max="4867" width="2.7109375" customWidth="1"/>
    <col min="4868" max="4868" width="14" bestFit="1" customWidth="1"/>
    <col min="4869" max="4869" width="2" customWidth="1"/>
    <col min="4870" max="4877" width="15.28515625" bestFit="1" customWidth="1"/>
    <col min="4878" max="4878" width="2.7109375" customWidth="1"/>
    <col min="4879" max="4882" width="14" bestFit="1" customWidth="1"/>
    <col min="4883" max="4883" width="2.7109375" customWidth="1"/>
    <col min="4884" max="4884" width="62.140625" bestFit="1" customWidth="1"/>
    <col min="4885" max="4885" width="1.7109375" customWidth="1"/>
    <col min="4886" max="4890" width="15.7109375" customWidth="1"/>
    <col min="4891" max="4891" width="2.7109375" customWidth="1"/>
    <col min="4892" max="4892" width="15.42578125" bestFit="1" customWidth="1"/>
    <col min="4893" max="4896" width="14.42578125" customWidth="1"/>
    <col min="5121" max="5121" width="2.42578125" customWidth="1"/>
    <col min="5122" max="5122" width="40.7109375" customWidth="1"/>
    <col min="5123" max="5123" width="2.7109375" customWidth="1"/>
    <col min="5124" max="5124" width="14" bestFit="1" customWidth="1"/>
    <col min="5125" max="5125" width="2" customWidth="1"/>
    <col min="5126" max="5133" width="15.28515625" bestFit="1" customWidth="1"/>
    <col min="5134" max="5134" width="2.7109375" customWidth="1"/>
    <col min="5135" max="5138" width="14" bestFit="1" customWidth="1"/>
    <col min="5139" max="5139" width="2.7109375" customWidth="1"/>
    <col min="5140" max="5140" width="62.140625" bestFit="1" customWidth="1"/>
    <col min="5141" max="5141" width="1.7109375" customWidth="1"/>
    <col min="5142" max="5146" width="15.7109375" customWidth="1"/>
    <col min="5147" max="5147" width="2.7109375" customWidth="1"/>
    <col min="5148" max="5148" width="15.42578125" bestFit="1" customWidth="1"/>
    <col min="5149" max="5152" width="14.42578125" customWidth="1"/>
    <col min="5377" max="5377" width="2.42578125" customWidth="1"/>
    <col min="5378" max="5378" width="40.7109375" customWidth="1"/>
    <col min="5379" max="5379" width="2.7109375" customWidth="1"/>
    <col min="5380" max="5380" width="14" bestFit="1" customWidth="1"/>
    <col min="5381" max="5381" width="2" customWidth="1"/>
    <col min="5382" max="5389" width="15.28515625" bestFit="1" customWidth="1"/>
    <col min="5390" max="5390" width="2.7109375" customWidth="1"/>
    <col min="5391" max="5394" width="14" bestFit="1" customWidth="1"/>
    <col min="5395" max="5395" width="2.7109375" customWidth="1"/>
    <col min="5396" max="5396" width="62.140625" bestFit="1" customWidth="1"/>
    <col min="5397" max="5397" width="1.7109375" customWidth="1"/>
    <col min="5398" max="5402" width="15.7109375" customWidth="1"/>
    <col min="5403" max="5403" width="2.7109375" customWidth="1"/>
    <col min="5404" max="5404" width="15.42578125" bestFit="1" customWidth="1"/>
    <col min="5405" max="5408" width="14.42578125" customWidth="1"/>
    <col min="5633" max="5633" width="2.42578125" customWidth="1"/>
    <col min="5634" max="5634" width="40.7109375" customWidth="1"/>
    <col min="5635" max="5635" width="2.7109375" customWidth="1"/>
    <col min="5636" max="5636" width="14" bestFit="1" customWidth="1"/>
    <col min="5637" max="5637" width="2" customWidth="1"/>
    <col min="5638" max="5645" width="15.28515625" bestFit="1" customWidth="1"/>
    <col min="5646" max="5646" width="2.7109375" customWidth="1"/>
    <col min="5647" max="5650" width="14" bestFit="1" customWidth="1"/>
    <col min="5651" max="5651" width="2.7109375" customWidth="1"/>
    <col min="5652" max="5652" width="62.140625" bestFit="1" customWidth="1"/>
    <col min="5653" max="5653" width="1.7109375" customWidth="1"/>
    <col min="5654" max="5658" width="15.7109375" customWidth="1"/>
    <col min="5659" max="5659" width="2.7109375" customWidth="1"/>
    <col min="5660" max="5660" width="15.42578125" bestFit="1" customWidth="1"/>
    <col min="5661" max="5664" width="14.42578125" customWidth="1"/>
    <col min="5889" max="5889" width="2.42578125" customWidth="1"/>
    <col min="5890" max="5890" width="40.7109375" customWidth="1"/>
    <col min="5891" max="5891" width="2.7109375" customWidth="1"/>
    <col min="5892" max="5892" width="14" bestFit="1" customWidth="1"/>
    <col min="5893" max="5893" width="2" customWidth="1"/>
    <col min="5894" max="5901" width="15.28515625" bestFit="1" customWidth="1"/>
    <col min="5902" max="5902" width="2.7109375" customWidth="1"/>
    <col min="5903" max="5906" width="14" bestFit="1" customWidth="1"/>
    <col min="5907" max="5907" width="2.7109375" customWidth="1"/>
    <col min="5908" max="5908" width="62.140625" bestFit="1" customWidth="1"/>
    <col min="5909" max="5909" width="1.7109375" customWidth="1"/>
    <col min="5910" max="5914" width="15.7109375" customWidth="1"/>
    <col min="5915" max="5915" width="2.7109375" customWidth="1"/>
    <col min="5916" max="5916" width="15.42578125" bestFit="1" customWidth="1"/>
    <col min="5917" max="5920" width="14.42578125" customWidth="1"/>
    <col min="6145" max="6145" width="2.42578125" customWidth="1"/>
    <col min="6146" max="6146" width="40.7109375" customWidth="1"/>
    <col min="6147" max="6147" width="2.7109375" customWidth="1"/>
    <col min="6148" max="6148" width="14" bestFit="1" customWidth="1"/>
    <col min="6149" max="6149" width="2" customWidth="1"/>
    <col min="6150" max="6157" width="15.28515625" bestFit="1" customWidth="1"/>
    <col min="6158" max="6158" width="2.7109375" customWidth="1"/>
    <col min="6159" max="6162" width="14" bestFit="1" customWidth="1"/>
    <col min="6163" max="6163" width="2.7109375" customWidth="1"/>
    <col min="6164" max="6164" width="62.140625" bestFit="1" customWidth="1"/>
    <col min="6165" max="6165" width="1.7109375" customWidth="1"/>
    <col min="6166" max="6170" width="15.7109375" customWidth="1"/>
    <col min="6171" max="6171" width="2.7109375" customWidth="1"/>
    <col min="6172" max="6172" width="15.42578125" bestFit="1" customWidth="1"/>
    <col min="6173" max="6176" width="14.42578125" customWidth="1"/>
    <col min="6401" max="6401" width="2.42578125" customWidth="1"/>
    <col min="6402" max="6402" width="40.7109375" customWidth="1"/>
    <col min="6403" max="6403" width="2.7109375" customWidth="1"/>
    <col min="6404" max="6404" width="14" bestFit="1" customWidth="1"/>
    <col min="6405" max="6405" width="2" customWidth="1"/>
    <col min="6406" max="6413" width="15.28515625" bestFit="1" customWidth="1"/>
    <col min="6414" max="6414" width="2.7109375" customWidth="1"/>
    <col min="6415" max="6418" width="14" bestFit="1" customWidth="1"/>
    <col min="6419" max="6419" width="2.7109375" customWidth="1"/>
    <col min="6420" max="6420" width="62.140625" bestFit="1" customWidth="1"/>
    <col min="6421" max="6421" width="1.7109375" customWidth="1"/>
    <col min="6422" max="6426" width="15.7109375" customWidth="1"/>
    <col min="6427" max="6427" width="2.7109375" customWidth="1"/>
    <col min="6428" max="6428" width="15.42578125" bestFit="1" customWidth="1"/>
    <col min="6429" max="6432" width="14.42578125" customWidth="1"/>
    <col min="6657" max="6657" width="2.42578125" customWidth="1"/>
    <col min="6658" max="6658" width="40.7109375" customWidth="1"/>
    <col min="6659" max="6659" width="2.7109375" customWidth="1"/>
    <col min="6660" max="6660" width="14" bestFit="1" customWidth="1"/>
    <col min="6661" max="6661" width="2" customWidth="1"/>
    <col min="6662" max="6669" width="15.28515625" bestFit="1" customWidth="1"/>
    <col min="6670" max="6670" width="2.7109375" customWidth="1"/>
    <col min="6671" max="6674" width="14" bestFit="1" customWidth="1"/>
    <col min="6675" max="6675" width="2.7109375" customWidth="1"/>
    <col min="6676" max="6676" width="62.140625" bestFit="1" customWidth="1"/>
    <col min="6677" max="6677" width="1.7109375" customWidth="1"/>
    <col min="6678" max="6682" width="15.7109375" customWidth="1"/>
    <col min="6683" max="6683" width="2.7109375" customWidth="1"/>
    <col min="6684" max="6684" width="15.42578125" bestFit="1" customWidth="1"/>
    <col min="6685" max="6688" width="14.42578125" customWidth="1"/>
    <col min="6913" max="6913" width="2.42578125" customWidth="1"/>
    <col min="6914" max="6914" width="40.7109375" customWidth="1"/>
    <col min="6915" max="6915" width="2.7109375" customWidth="1"/>
    <col min="6916" max="6916" width="14" bestFit="1" customWidth="1"/>
    <col min="6917" max="6917" width="2" customWidth="1"/>
    <col min="6918" max="6925" width="15.28515625" bestFit="1" customWidth="1"/>
    <col min="6926" max="6926" width="2.7109375" customWidth="1"/>
    <col min="6927" max="6930" width="14" bestFit="1" customWidth="1"/>
    <col min="6931" max="6931" width="2.7109375" customWidth="1"/>
    <col min="6932" max="6932" width="62.140625" bestFit="1" customWidth="1"/>
    <col min="6933" max="6933" width="1.7109375" customWidth="1"/>
    <col min="6934" max="6938" width="15.7109375" customWidth="1"/>
    <col min="6939" max="6939" width="2.7109375" customWidth="1"/>
    <col min="6940" max="6940" width="15.42578125" bestFit="1" customWidth="1"/>
    <col min="6941" max="6944" width="14.42578125" customWidth="1"/>
    <col min="7169" max="7169" width="2.42578125" customWidth="1"/>
    <col min="7170" max="7170" width="40.7109375" customWidth="1"/>
    <col min="7171" max="7171" width="2.7109375" customWidth="1"/>
    <col min="7172" max="7172" width="14" bestFit="1" customWidth="1"/>
    <col min="7173" max="7173" width="2" customWidth="1"/>
    <col min="7174" max="7181" width="15.28515625" bestFit="1" customWidth="1"/>
    <col min="7182" max="7182" width="2.7109375" customWidth="1"/>
    <col min="7183" max="7186" width="14" bestFit="1" customWidth="1"/>
    <col min="7187" max="7187" width="2.7109375" customWidth="1"/>
    <col min="7188" max="7188" width="62.140625" bestFit="1" customWidth="1"/>
    <col min="7189" max="7189" width="1.7109375" customWidth="1"/>
    <col min="7190" max="7194" width="15.7109375" customWidth="1"/>
    <col min="7195" max="7195" width="2.7109375" customWidth="1"/>
    <col min="7196" max="7196" width="15.42578125" bestFit="1" customWidth="1"/>
    <col min="7197" max="7200" width="14.42578125" customWidth="1"/>
    <col min="7425" max="7425" width="2.42578125" customWidth="1"/>
    <col min="7426" max="7426" width="40.7109375" customWidth="1"/>
    <col min="7427" max="7427" width="2.7109375" customWidth="1"/>
    <col min="7428" max="7428" width="14" bestFit="1" customWidth="1"/>
    <col min="7429" max="7429" width="2" customWidth="1"/>
    <col min="7430" max="7437" width="15.28515625" bestFit="1" customWidth="1"/>
    <col min="7438" max="7438" width="2.7109375" customWidth="1"/>
    <col min="7439" max="7442" width="14" bestFit="1" customWidth="1"/>
    <col min="7443" max="7443" width="2.7109375" customWidth="1"/>
    <col min="7444" max="7444" width="62.140625" bestFit="1" customWidth="1"/>
    <col min="7445" max="7445" width="1.7109375" customWidth="1"/>
    <col min="7446" max="7450" width="15.7109375" customWidth="1"/>
    <col min="7451" max="7451" width="2.7109375" customWidth="1"/>
    <col min="7452" max="7452" width="15.42578125" bestFit="1" customWidth="1"/>
    <col min="7453" max="7456" width="14.42578125" customWidth="1"/>
    <col min="7681" max="7681" width="2.42578125" customWidth="1"/>
    <col min="7682" max="7682" width="40.7109375" customWidth="1"/>
    <col min="7683" max="7683" width="2.7109375" customWidth="1"/>
    <col min="7684" max="7684" width="14" bestFit="1" customWidth="1"/>
    <col min="7685" max="7685" width="2" customWidth="1"/>
    <col min="7686" max="7693" width="15.28515625" bestFit="1" customWidth="1"/>
    <col min="7694" max="7694" width="2.7109375" customWidth="1"/>
    <col min="7695" max="7698" width="14" bestFit="1" customWidth="1"/>
    <col min="7699" max="7699" width="2.7109375" customWidth="1"/>
    <col min="7700" max="7700" width="62.140625" bestFit="1" customWidth="1"/>
    <col min="7701" max="7701" width="1.7109375" customWidth="1"/>
    <col min="7702" max="7706" width="15.7109375" customWidth="1"/>
    <col min="7707" max="7707" width="2.7109375" customWidth="1"/>
    <col min="7708" max="7708" width="15.42578125" bestFit="1" customWidth="1"/>
    <col min="7709" max="7712" width="14.42578125" customWidth="1"/>
    <col min="7937" max="7937" width="2.42578125" customWidth="1"/>
    <col min="7938" max="7938" width="40.7109375" customWidth="1"/>
    <col min="7939" max="7939" width="2.7109375" customWidth="1"/>
    <col min="7940" max="7940" width="14" bestFit="1" customWidth="1"/>
    <col min="7941" max="7941" width="2" customWidth="1"/>
    <col min="7942" max="7949" width="15.28515625" bestFit="1" customWidth="1"/>
    <col min="7950" max="7950" width="2.7109375" customWidth="1"/>
    <col min="7951" max="7954" width="14" bestFit="1" customWidth="1"/>
    <col min="7955" max="7955" width="2.7109375" customWidth="1"/>
    <col min="7956" max="7956" width="62.140625" bestFit="1" customWidth="1"/>
    <col min="7957" max="7957" width="1.7109375" customWidth="1"/>
    <col min="7958" max="7962" width="15.7109375" customWidth="1"/>
    <col min="7963" max="7963" width="2.7109375" customWidth="1"/>
    <col min="7964" max="7964" width="15.42578125" bestFit="1" customWidth="1"/>
    <col min="7965" max="7968" width="14.42578125" customWidth="1"/>
    <col min="8193" max="8193" width="2.42578125" customWidth="1"/>
    <col min="8194" max="8194" width="40.7109375" customWidth="1"/>
    <col min="8195" max="8195" width="2.7109375" customWidth="1"/>
    <col min="8196" max="8196" width="14" bestFit="1" customWidth="1"/>
    <col min="8197" max="8197" width="2" customWidth="1"/>
    <col min="8198" max="8205" width="15.28515625" bestFit="1" customWidth="1"/>
    <col min="8206" max="8206" width="2.7109375" customWidth="1"/>
    <col min="8207" max="8210" width="14" bestFit="1" customWidth="1"/>
    <col min="8211" max="8211" width="2.7109375" customWidth="1"/>
    <col min="8212" max="8212" width="62.140625" bestFit="1" customWidth="1"/>
    <col min="8213" max="8213" width="1.7109375" customWidth="1"/>
    <col min="8214" max="8218" width="15.7109375" customWidth="1"/>
    <col min="8219" max="8219" width="2.7109375" customWidth="1"/>
    <col min="8220" max="8220" width="15.42578125" bestFit="1" customWidth="1"/>
    <col min="8221" max="8224" width="14.42578125" customWidth="1"/>
    <col min="8449" max="8449" width="2.42578125" customWidth="1"/>
    <col min="8450" max="8450" width="40.7109375" customWidth="1"/>
    <col min="8451" max="8451" width="2.7109375" customWidth="1"/>
    <col min="8452" max="8452" width="14" bestFit="1" customWidth="1"/>
    <col min="8453" max="8453" width="2" customWidth="1"/>
    <col min="8454" max="8461" width="15.28515625" bestFit="1" customWidth="1"/>
    <col min="8462" max="8462" width="2.7109375" customWidth="1"/>
    <col min="8463" max="8466" width="14" bestFit="1" customWidth="1"/>
    <col min="8467" max="8467" width="2.7109375" customWidth="1"/>
    <col min="8468" max="8468" width="62.140625" bestFit="1" customWidth="1"/>
    <col min="8469" max="8469" width="1.7109375" customWidth="1"/>
    <col min="8470" max="8474" width="15.7109375" customWidth="1"/>
    <col min="8475" max="8475" width="2.7109375" customWidth="1"/>
    <col min="8476" max="8476" width="15.42578125" bestFit="1" customWidth="1"/>
    <col min="8477" max="8480" width="14.42578125" customWidth="1"/>
    <col min="8705" max="8705" width="2.42578125" customWidth="1"/>
    <col min="8706" max="8706" width="40.7109375" customWidth="1"/>
    <col min="8707" max="8707" width="2.7109375" customWidth="1"/>
    <col min="8708" max="8708" width="14" bestFit="1" customWidth="1"/>
    <col min="8709" max="8709" width="2" customWidth="1"/>
    <col min="8710" max="8717" width="15.28515625" bestFit="1" customWidth="1"/>
    <col min="8718" max="8718" width="2.7109375" customWidth="1"/>
    <col min="8719" max="8722" width="14" bestFit="1" customWidth="1"/>
    <col min="8723" max="8723" width="2.7109375" customWidth="1"/>
    <col min="8724" max="8724" width="62.140625" bestFit="1" customWidth="1"/>
    <col min="8725" max="8725" width="1.7109375" customWidth="1"/>
    <col min="8726" max="8730" width="15.7109375" customWidth="1"/>
    <col min="8731" max="8731" width="2.7109375" customWidth="1"/>
    <col min="8732" max="8732" width="15.42578125" bestFit="1" customWidth="1"/>
    <col min="8733" max="8736" width="14.42578125" customWidth="1"/>
    <col min="8961" max="8961" width="2.42578125" customWidth="1"/>
    <col min="8962" max="8962" width="40.7109375" customWidth="1"/>
    <col min="8963" max="8963" width="2.7109375" customWidth="1"/>
    <col min="8964" max="8964" width="14" bestFit="1" customWidth="1"/>
    <col min="8965" max="8965" width="2" customWidth="1"/>
    <col min="8966" max="8973" width="15.28515625" bestFit="1" customWidth="1"/>
    <col min="8974" max="8974" width="2.7109375" customWidth="1"/>
    <col min="8975" max="8978" width="14" bestFit="1" customWidth="1"/>
    <col min="8979" max="8979" width="2.7109375" customWidth="1"/>
    <col min="8980" max="8980" width="62.140625" bestFit="1" customWidth="1"/>
    <col min="8981" max="8981" width="1.7109375" customWidth="1"/>
    <col min="8982" max="8986" width="15.7109375" customWidth="1"/>
    <col min="8987" max="8987" width="2.7109375" customWidth="1"/>
    <col min="8988" max="8988" width="15.42578125" bestFit="1" customWidth="1"/>
    <col min="8989" max="8992" width="14.42578125" customWidth="1"/>
    <col min="9217" max="9217" width="2.42578125" customWidth="1"/>
    <col min="9218" max="9218" width="40.7109375" customWidth="1"/>
    <col min="9219" max="9219" width="2.7109375" customWidth="1"/>
    <col min="9220" max="9220" width="14" bestFit="1" customWidth="1"/>
    <col min="9221" max="9221" width="2" customWidth="1"/>
    <col min="9222" max="9229" width="15.28515625" bestFit="1" customWidth="1"/>
    <col min="9230" max="9230" width="2.7109375" customWidth="1"/>
    <col min="9231" max="9234" width="14" bestFit="1" customWidth="1"/>
    <col min="9235" max="9235" width="2.7109375" customWidth="1"/>
    <col min="9236" max="9236" width="62.140625" bestFit="1" customWidth="1"/>
    <col min="9237" max="9237" width="1.7109375" customWidth="1"/>
    <col min="9238" max="9242" width="15.7109375" customWidth="1"/>
    <col min="9243" max="9243" width="2.7109375" customWidth="1"/>
    <col min="9244" max="9244" width="15.42578125" bestFit="1" customWidth="1"/>
    <col min="9245" max="9248" width="14.42578125" customWidth="1"/>
    <col min="9473" max="9473" width="2.42578125" customWidth="1"/>
    <col min="9474" max="9474" width="40.7109375" customWidth="1"/>
    <col min="9475" max="9475" width="2.7109375" customWidth="1"/>
    <col min="9476" max="9476" width="14" bestFit="1" customWidth="1"/>
    <col min="9477" max="9477" width="2" customWidth="1"/>
    <col min="9478" max="9485" width="15.28515625" bestFit="1" customWidth="1"/>
    <col min="9486" max="9486" width="2.7109375" customWidth="1"/>
    <col min="9487" max="9490" width="14" bestFit="1" customWidth="1"/>
    <col min="9491" max="9491" width="2.7109375" customWidth="1"/>
    <col min="9492" max="9492" width="62.140625" bestFit="1" customWidth="1"/>
    <col min="9493" max="9493" width="1.7109375" customWidth="1"/>
    <col min="9494" max="9498" width="15.7109375" customWidth="1"/>
    <col min="9499" max="9499" width="2.7109375" customWidth="1"/>
    <col min="9500" max="9500" width="15.42578125" bestFit="1" customWidth="1"/>
    <col min="9501" max="9504" width="14.42578125" customWidth="1"/>
    <col min="9729" max="9729" width="2.42578125" customWidth="1"/>
    <col min="9730" max="9730" width="40.7109375" customWidth="1"/>
    <col min="9731" max="9731" width="2.7109375" customWidth="1"/>
    <col min="9732" max="9732" width="14" bestFit="1" customWidth="1"/>
    <col min="9733" max="9733" width="2" customWidth="1"/>
    <col min="9734" max="9741" width="15.28515625" bestFit="1" customWidth="1"/>
    <col min="9742" max="9742" width="2.7109375" customWidth="1"/>
    <col min="9743" max="9746" width="14" bestFit="1" customWidth="1"/>
    <col min="9747" max="9747" width="2.7109375" customWidth="1"/>
    <col min="9748" max="9748" width="62.140625" bestFit="1" customWidth="1"/>
    <col min="9749" max="9749" width="1.7109375" customWidth="1"/>
    <col min="9750" max="9754" width="15.7109375" customWidth="1"/>
    <col min="9755" max="9755" width="2.7109375" customWidth="1"/>
    <col min="9756" max="9756" width="15.42578125" bestFit="1" customWidth="1"/>
    <col min="9757" max="9760" width="14.42578125" customWidth="1"/>
    <col min="9985" max="9985" width="2.42578125" customWidth="1"/>
    <col min="9986" max="9986" width="40.7109375" customWidth="1"/>
    <col min="9987" max="9987" width="2.7109375" customWidth="1"/>
    <col min="9988" max="9988" width="14" bestFit="1" customWidth="1"/>
    <col min="9989" max="9989" width="2" customWidth="1"/>
    <col min="9990" max="9997" width="15.28515625" bestFit="1" customWidth="1"/>
    <col min="9998" max="9998" width="2.7109375" customWidth="1"/>
    <col min="9999" max="10002" width="14" bestFit="1" customWidth="1"/>
    <col min="10003" max="10003" width="2.7109375" customWidth="1"/>
    <col min="10004" max="10004" width="62.140625" bestFit="1" customWidth="1"/>
    <col min="10005" max="10005" width="1.7109375" customWidth="1"/>
    <col min="10006" max="10010" width="15.7109375" customWidth="1"/>
    <col min="10011" max="10011" width="2.7109375" customWidth="1"/>
    <col min="10012" max="10012" width="15.42578125" bestFit="1" customWidth="1"/>
    <col min="10013" max="10016" width="14.42578125" customWidth="1"/>
    <col min="10241" max="10241" width="2.42578125" customWidth="1"/>
    <col min="10242" max="10242" width="40.7109375" customWidth="1"/>
    <col min="10243" max="10243" width="2.7109375" customWidth="1"/>
    <col min="10244" max="10244" width="14" bestFit="1" customWidth="1"/>
    <col min="10245" max="10245" width="2" customWidth="1"/>
    <col min="10246" max="10253" width="15.28515625" bestFit="1" customWidth="1"/>
    <col min="10254" max="10254" width="2.7109375" customWidth="1"/>
    <col min="10255" max="10258" width="14" bestFit="1" customWidth="1"/>
    <col min="10259" max="10259" width="2.7109375" customWidth="1"/>
    <col min="10260" max="10260" width="62.140625" bestFit="1" customWidth="1"/>
    <col min="10261" max="10261" width="1.7109375" customWidth="1"/>
    <col min="10262" max="10266" width="15.7109375" customWidth="1"/>
    <col min="10267" max="10267" width="2.7109375" customWidth="1"/>
    <col min="10268" max="10268" width="15.42578125" bestFit="1" customWidth="1"/>
    <col min="10269" max="10272" width="14.42578125" customWidth="1"/>
    <col min="10497" max="10497" width="2.42578125" customWidth="1"/>
    <col min="10498" max="10498" width="40.7109375" customWidth="1"/>
    <col min="10499" max="10499" width="2.7109375" customWidth="1"/>
    <col min="10500" max="10500" width="14" bestFit="1" customWidth="1"/>
    <col min="10501" max="10501" width="2" customWidth="1"/>
    <col min="10502" max="10509" width="15.28515625" bestFit="1" customWidth="1"/>
    <col min="10510" max="10510" width="2.7109375" customWidth="1"/>
    <col min="10511" max="10514" width="14" bestFit="1" customWidth="1"/>
    <col min="10515" max="10515" width="2.7109375" customWidth="1"/>
    <col min="10516" max="10516" width="62.140625" bestFit="1" customWidth="1"/>
    <col min="10517" max="10517" width="1.7109375" customWidth="1"/>
    <col min="10518" max="10522" width="15.7109375" customWidth="1"/>
    <col min="10523" max="10523" width="2.7109375" customWidth="1"/>
    <col min="10524" max="10524" width="15.42578125" bestFit="1" customWidth="1"/>
    <col min="10525" max="10528" width="14.42578125" customWidth="1"/>
    <col min="10753" max="10753" width="2.42578125" customWidth="1"/>
    <col min="10754" max="10754" width="40.7109375" customWidth="1"/>
    <col min="10755" max="10755" width="2.7109375" customWidth="1"/>
    <col min="10756" max="10756" width="14" bestFit="1" customWidth="1"/>
    <col min="10757" max="10757" width="2" customWidth="1"/>
    <col min="10758" max="10765" width="15.28515625" bestFit="1" customWidth="1"/>
    <col min="10766" max="10766" width="2.7109375" customWidth="1"/>
    <col min="10767" max="10770" width="14" bestFit="1" customWidth="1"/>
    <col min="10771" max="10771" width="2.7109375" customWidth="1"/>
    <col min="10772" max="10772" width="62.140625" bestFit="1" customWidth="1"/>
    <col min="10773" max="10773" width="1.7109375" customWidth="1"/>
    <col min="10774" max="10778" width="15.7109375" customWidth="1"/>
    <col min="10779" max="10779" width="2.7109375" customWidth="1"/>
    <col min="10780" max="10780" width="15.42578125" bestFit="1" customWidth="1"/>
    <col min="10781" max="10784" width="14.42578125" customWidth="1"/>
    <col min="11009" max="11009" width="2.42578125" customWidth="1"/>
    <col min="11010" max="11010" width="40.7109375" customWidth="1"/>
    <col min="11011" max="11011" width="2.7109375" customWidth="1"/>
    <col min="11012" max="11012" width="14" bestFit="1" customWidth="1"/>
    <col min="11013" max="11013" width="2" customWidth="1"/>
    <col min="11014" max="11021" width="15.28515625" bestFit="1" customWidth="1"/>
    <col min="11022" max="11022" width="2.7109375" customWidth="1"/>
    <col min="11023" max="11026" width="14" bestFit="1" customWidth="1"/>
    <col min="11027" max="11027" width="2.7109375" customWidth="1"/>
    <col min="11028" max="11028" width="62.140625" bestFit="1" customWidth="1"/>
    <col min="11029" max="11029" width="1.7109375" customWidth="1"/>
    <col min="11030" max="11034" width="15.7109375" customWidth="1"/>
    <col min="11035" max="11035" width="2.7109375" customWidth="1"/>
    <col min="11036" max="11036" width="15.42578125" bestFit="1" customWidth="1"/>
    <col min="11037" max="11040" width="14.42578125" customWidth="1"/>
    <col min="11265" max="11265" width="2.42578125" customWidth="1"/>
    <col min="11266" max="11266" width="40.7109375" customWidth="1"/>
    <col min="11267" max="11267" width="2.7109375" customWidth="1"/>
    <col min="11268" max="11268" width="14" bestFit="1" customWidth="1"/>
    <col min="11269" max="11269" width="2" customWidth="1"/>
    <col min="11270" max="11277" width="15.28515625" bestFit="1" customWidth="1"/>
    <col min="11278" max="11278" width="2.7109375" customWidth="1"/>
    <col min="11279" max="11282" width="14" bestFit="1" customWidth="1"/>
    <col min="11283" max="11283" width="2.7109375" customWidth="1"/>
    <col min="11284" max="11284" width="62.140625" bestFit="1" customWidth="1"/>
    <col min="11285" max="11285" width="1.7109375" customWidth="1"/>
    <col min="11286" max="11290" width="15.7109375" customWidth="1"/>
    <col min="11291" max="11291" width="2.7109375" customWidth="1"/>
    <col min="11292" max="11292" width="15.42578125" bestFit="1" customWidth="1"/>
    <col min="11293" max="11296" width="14.42578125" customWidth="1"/>
    <col min="11521" max="11521" width="2.42578125" customWidth="1"/>
    <col min="11522" max="11522" width="40.7109375" customWidth="1"/>
    <col min="11523" max="11523" width="2.7109375" customWidth="1"/>
    <col min="11524" max="11524" width="14" bestFit="1" customWidth="1"/>
    <col min="11525" max="11525" width="2" customWidth="1"/>
    <col min="11526" max="11533" width="15.28515625" bestFit="1" customWidth="1"/>
    <col min="11534" max="11534" width="2.7109375" customWidth="1"/>
    <col min="11535" max="11538" width="14" bestFit="1" customWidth="1"/>
    <col min="11539" max="11539" width="2.7109375" customWidth="1"/>
    <col min="11540" max="11540" width="62.140625" bestFit="1" customWidth="1"/>
    <col min="11541" max="11541" width="1.7109375" customWidth="1"/>
    <col min="11542" max="11546" width="15.7109375" customWidth="1"/>
    <col min="11547" max="11547" width="2.7109375" customWidth="1"/>
    <col min="11548" max="11548" width="15.42578125" bestFit="1" customWidth="1"/>
    <col min="11549" max="11552" width="14.42578125" customWidth="1"/>
    <col min="11777" max="11777" width="2.42578125" customWidth="1"/>
    <col min="11778" max="11778" width="40.7109375" customWidth="1"/>
    <col min="11779" max="11779" width="2.7109375" customWidth="1"/>
    <col min="11780" max="11780" width="14" bestFit="1" customWidth="1"/>
    <col min="11781" max="11781" width="2" customWidth="1"/>
    <col min="11782" max="11789" width="15.28515625" bestFit="1" customWidth="1"/>
    <col min="11790" max="11790" width="2.7109375" customWidth="1"/>
    <col min="11791" max="11794" width="14" bestFit="1" customWidth="1"/>
    <col min="11795" max="11795" width="2.7109375" customWidth="1"/>
    <col min="11796" max="11796" width="62.140625" bestFit="1" customWidth="1"/>
    <col min="11797" max="11797" width="1.7109375" customWidth="1"/>
    <col min="11798" max="11802" width="15.7109375" customWidth="1"/>
    <col min="11803" max="11803" width="2.7109375" customWidth="1"/>
    <col min="11804" max="11804" width="15.42578125" bestFit="1" customWidth="1"/>
    <col min="11805" max="11808" width="14.42578125" customWidth="1"/>
    <col min="12033" max="12033" width="2.42578125" customWidth="1"/>
    <col min="12034" max="12034" width="40.7109375" customWidth="1"/>
    <col min="12035" max="12035" width="2.7109375" customWidth="1"/>
    <col min="12036" max="12036" width="14" bestFit="1" customWidth="1"/>
    <col min="12037" max="12037" width="2" customWidth="1"/>
    <col min="12038" max="12045" width="15.28515625" bestFit="1" customWidth="1"/>
    <col min="12046" max="12046" width="2.7109375" customWidth="1"/>
    <col min="12047" max="12050" width="14" bestFit="1" customWidth="1"/>
    <col min="12051" max="12051" width="2.7109375" customWidth="1"/>
    <col min="12052" max="12052" width="62.140625" bestFit="1" customWidth="1"/>
    <col min="12053" max="12053" width="1.7109375" customWidth="1"/>
    <col min="12054" max="12058" width="15.7109375" customWidth="1"/>
    <col min="12059" max="12059" width="2.7109375" customWidth="1"/>
    <col min="12060" max="12060" width="15.42578125" bestFit="1" customWidth="1"/>
    <col min="12061" max="12064" width="14.42578125" customWidth="1"/>
    <col min="12289" max="12289" width="2.42578125" customWidth="1"/>
    <col min="12290" max="12290" width="40.7109375" customWidth="1"/>
    <col min="12291" max="12291" width="2.7109375" customWidth="1"/>
    <col min="12292" max="12292" width="14" bestFit="1" customWidth="1"/>
    <col min="12293" max="12293" width="2" customWidth="1"/>
    <col min="12294" max="12301" width="15.28515625" bestFit="1" customWidth="1"/>
    <col min="12302" max="12302" width="2.7109375" customWidth="1"/>
    <col min="12303" max="12306" width="14" bestFit="1" customWidth="1"/>
    <col min="12307" max="12307" width="2.7109375" customWidth="1"/>
    <col min="12308" max="12308" width="62.140625" bestFit="1" customWidth="1"/>
    <col min="12309" max="12309" width="1.7109375" customWidth="1"/>
    <col min="12310" max="12314" width="15.7109375" customWidth="1"/>
    <col min="12315" max="12315" width="2.7109375" customWidth="1"/>
    <col min="12316" max="12316" width="15.42578125" bestFit="1" customWidth="1"/>
    <col min="12317" max="12320" width="14.42578125" customWidth="1"/>
    <col min="12545" max="12545" width="2.42578125" customWidth="1"/>
    <col min="12546" max="12546" width="40.7109375" customWidth="1"/>
    <col min="12547" max="12547" width="2.7109375" customWidth="1"/>
    <col min="12548" max="12548" width="14" bestFit="1" customWidth="1"/>
    <col min="12549" max="12549" width="2" customWidth="1"/>
    <col min="12550" max="12557" width="15.28515625" bestFit="1" customWidth="1"/>
    <col min="12558" max="12558" width="2.7109375" customWidth="1"/>
    <col min="12559" max="12562" width="14" bestFit="1" customWidth="1"/>
    <col min="12563" max="12563" width="2.7109375" customWidth="1"/>
    <col min="12564" max="12564" width="62.140625" bestFit="1" customWidth="1"/>
    <col min="12565" max="12565" width="1.7109375" customWidth="1"/>
    <col min="12566" max="12570" width="15.7109375" customWidth="1"/>
    <col min="12571" max="12571" width="2.7109375" customWidth="1"/>
    <col min="12572" max="12572" width="15.42578125" bestFit="1" customWidth="1"/>
    <col min="12573" max="12576" width="14.42578125" customWidth="1"/>
    <col min="12801" max="12801" width="2.42578125" customWidth="1"/>
    <col min="12802" max="12802" width="40.7109375" customWidth="1"/>
    <col min="12803" max="12803" width="2.7109375" customWidth="1"/>
    <col min="12804" max="12804" width="14" bestFit="1" customWidth="1"/>
    <col min="12805" max="12805" width="2" customWidth="1"/>
    <col min="12806" max="12813" width="15.28515625" bestFit="1" customWidth="1"/>
    <col min="12814" max="12814" width="2.7109375" customWidth="1"/>
    <col min="12815" max="12818" width="14" bestFit="1" customWidth="1"/>
    <col min="12819" max="12819" width="2.7109375" customWidth="1"/>
    <col min="12820" max="12820" width="62.140625" bestFit="1" customWidth="1"/>
    <col min="12821" max="12821" width="1.7109375" customWidth="1"/>
    <col min="12822" max="12826" width="15.7109375" customWidth="1"/>
    <col min="12827" max="12827" width="2.7109375" customWidth="1"/>
    <col min="12828" max="12828" width="15.42578125" bestFit="1" customWidth="1"/>
    <col min="12829" max="12832" width="14.42578125" customWidth="1"/>
    <col min="13057" max="13057" width="2.42578125" customWidth="1"/>
    <col min="13058" max="13058" width="40.7109375" customWidth="1"/>
    <col min="13059" max="13059" width="2.7109375" customWidth="1"/>
    <col min="13060" max="13060" width="14" bestFit="1" customWidth="1"/>
    <col min="13061" max="13061" width="2" customWidth="1"/>
    <col min="13062" max="13069" width="15.28515625" bestFit="1" customWidth="1"/>
    <col min="13070" max="13070" width="2.7109375" customWidth="1"/>
    <col min="13071" max="13074" width="14" bestFit="1" customWidth="1"/>
    <col min="13075" max="13075" width="2.7109375" customWidth="1"/>
    <col min="13076" max="13076" width="62.140625" bestFit="1" customWidth="1"/>
    <col min="13077" max="13077" width="1.7109375" customWidth="1"/>
    <col min="13078" max="13082" width="15.7109375" customWidth="1"/>
    <col min="13083" max="13083" width="2.7109375" customWidth="1"/>
    <col min="13084" max="13084" width="15.42578125" bestFit="1" customWidth="1"/>
    <col min="13085" max="13088" width="14.42578125" customWidth="1"/>
    <col min="13313" max="13313" width="2.42578125" customWidth="1"/>
    <col min="13314" max="13314" width="40.7109375" customWidth="1"/>
    <col min="13315" max="13315" width="2.7109375" customWidth="1"/>
    <col min="13316" max="13316" width="14" bestFit="1" customWidth="1"/>
    <col min="13317" max="13317" width="2" customWidth="1"/>
    <col min="13318" max="13325" width="15.28515625" bestFit="1" customWidth="1"/>
    <col min="13326" max="13326" width="2.7109375" customWidth="1"/>
    <col min="13327" max="13330" width="14" bestFit="1" customWidth="1"/>
    <col min="13331" max="13331" width="2.7109375" customWidth="1"/>
    <col min="13332" max="13332" width="62.140625" bestFit="1" customWidth="1"/>
    <col min="13333" max="13333" width="1.7109375" customWidth="1"/>
    <col min="13334" max="13338" width="15.7109375" customWidth="1"/>
    <col min="13339" max="13339" width="2.7109375" customWidth="1"/>
    <col min="13340" max="13340" width="15.42578125" bestFit="1" customWidth="1"/>
    <col min="13341" max="13344" width="14.42578125" customWidth="1"/>
    <col min="13569" max="13569" width="2.42578125" customWidth="1"/>
    <col min="13570" max="13570" width="40.7109375" customWidth="1"/>
    <col min="13571" max="13571" width="2.7109375" customWidth="1"/>
    <col min="13572" max="13572" width="14" bestFit="1" customWidth="1"/>
    <col min="13573" max="13573" width="2" customWidth="1"/>
    <col min="13574" max="13581" width="15.28515625" bestFit="1" customWidth="1"/>
    <col min="13582" max="13582" width="2.7109375" customWidth="1"/>
    <col min="13583" max="13586" width="14" bestFit="1" customWidth="1"/>
    <col min="13587" max="13587" width="2.7109375" customWidth="1"/>
    <col min="13588" max="13588" width="62.140625" bestFit="1" customWidth="1"/>
    <col min="13589" max="13589" width="1.7109375" customWidth="1"/>
    <col min="13590" max="13594" width="15.7109375" customWidth="1"/>
    <col min="13595" max="13595" width="2.7109375" customWidth="1"/>
    <col min="13596" max="13596" width="15.42578125" bestFit="1" customWidth="1"/>
    <col min="13597" max="13600" width="14.42578125" customWidth="1"/>
    <col min="13825" max="13825" width="2.42578125" customWidth="1"/>
    <col min="13826" max="13826" width="40.7109375" customWidth="1"/>
    <col min="13827" max="13827" width="2.7109375" customWidth="1"/>
    <col min="13828" max="13828" width="14" bestFit="1" customWidth="1"/>
    <col min="13829" max="13829" width="2" customWidth="1"/>
    <col min="13830" max="13837" width="15.28515625" bestFit="1" customWidth="1"/>
    <col min="13838" max="13838" width="2.7109375" customWidth="1"/>
    <col min="13839" max="13842" width="14" bestFit="1" customWidth="1"/>
    <col min="13843" max="13843" width="2.7109375" customWidth="1"/>
    <col min="13844" max="13844" width="62.140625" bestFit="1" customWidth="1"/>
    <col min="13845" max="13845" width="1.7109375" customWidth="1"/>
    <col min="13846" max="13850" width="15.7109375" customWidth="1"/>
    <col min="13851" max="13851" width="2.7109375" customWidth="1"/>
    <col min="13852" max="13852" width="15.42578125" bestFit="1" customWidth="1"/>
    <col min="13853" max="13856" width="14.42578125" customWidth="1"/>
    <col min="14081" max="14081" width="2.42578125" customWidth="1"/>
    <col min="14082" max="14082" width="40.7109375" customWidth="1"/>
    <col min="14083" max="14083" width="2.7109375" customWidth="1"/>
    <col min="14084" max="14084" width="14" bestFit="1" customWidth="1"/>
    <col min="14085" max="14085" width="2" customWidth="1"/>
    <col min="14086" max="14093" width="15.28515625" bestFit="1" customWidth="1"/>
    <col min="14094" max="14094" width="2.7109375" customWidth="1"/>
    <col min="14095" max="14098" width="14" bestFit="1" customWidth="1"/>
    <col min="14099" max="14099" width="2.7109375" customWidth="1"/>
    <col min="14100" max="14100" width="62.140625" bestFit="1" customWidth="1"/>
    <col min="14101" max="14101" width="1.7109375" customWidth="1"/>
    <col min="14102" max="14106" width="15.7109375" customWidth="1"/>
    <col min="14107" max="14107" width="2.7109375" customWidth="1"/>
    <col min="14108" max="14108" width="15.42578125" bestFit="1" customWidth="1"/>
    <col min="14109" max="14112" width="14.42578125" customWidth="1"/>
    <col min="14337" max="14337" width="2.42578125" customWidth="1"/>
    <col min="14338" max="14338" width="40.7109375" customWidth="1"/>
    <col min="14339" max="14339" width="2.7109375" customWidth="1"/>
    <col min="14340" max="14340" width="14" bestFit="1" customWidth="1"/>
    <col min="14341" max="14341" width="2" customWidth="1"/>
    <col min="14342" max="14349" width="15.28515625" bestFit="1" customWidth="1"/>
    <col min="14350" max="14350" width="2.7109375" customWidth="1"/>
    <col min="14351" max="14354" width="14" bestFit="1" customWidth="1"/>
    <col min="14355" max="14355" width="2.7109375" customWidth="1"/>
    <col min="14356" max="14356" width="62.140625" bestFit="1" customWidth="1"/>
    <col min="14357" max="14357" width="1.7109375" customWidth="1"/>
    <col min="14358" max="14362" width="15.7109375" customWidth="1"/>
    <col min="14363" max="14363" width="2.7109375" customWidth="1"/>
    <col min="14364" max="14364" width="15.42578125" bestFit="1" customWidth="1"/>
    <col min="14365" max="14368" width="14.42578125" customWidth="1"/>
    <col min="14593" max="14593" width="2.42578125" customWidth="1"/>
    <col min="14594" max="14594" width="40.7109375" customWidth="1"/>
    <col min="14595" max="14595" width="2.7109375" customWidth="1"/>
    <col min="14596" max="14596" width="14" bestFit="1" customWidth="1"/>
    <col min="14597" max="14597" width="2" customWidth="1"/>
    <col min="14598" max="14605" width="15.28515625" bestFit="1" customWidth="1"/>
    <col min="14606" max="14606" width="2.7109375" customWidth="1"/>
    <col min="14607" max="14610" width="14" bestFit="1" customWidth="1"/>
    <col min="14611" max="14611" width="2.7109375" customWidth="1"/>
    <col min="14612" max="14612" width="62.140625" bestFit="1" customWidth="1"/>
    <col min="14613" max="14613" width="1.7109375" customWidth="1"/>
    <col min="14614" max="14618" width="15.7109375" customWidth="1"/>
    <col min="14619" max="14619" width="2.7109375" customWidth="1"/>
    <col min="14620" max="14620" width="15.42578125" bestFit="1" customWidth="1"/>
    <col min="14621" max="14624" width="14.42578125" customWidth="1"/>
    <col min="14849" max="14849" width="2.42578125" customWidth="1"/>
    <col min="14850" max="14850" width="40.7109375" customWidth="1"/>
    <col min="14851" max="14851" width="2.7109375" customWidth="1"/>
    <col min="14852" max="14852" width="14" bestFit="1" customWidth="1"/>
    <col min="14853" max="14853" width="2" customWidth="1"/>
    <col min="14854" max="14861" width="15.28515625" bestFit="1" customWidth="1"/>
    <col min="14862" max="14862" width="2.7109375" customWidth="1"/>
    <col min="14863" max="14866" width="14" bestFit="1" customWidth="1"/>
    <col min="14867" max="14867" width="2.7109375" customWidth="1"/>
    <col min="14868" max="14868" width="62.140625" bestFit="1" customWidth="1"/>
    <col min="14869" max="14869" width="1.7109375" customWidth="1"/>
    <col min="14870" max="14874" width="15.7109375" customWidth="1"/>
    <col min="14875" max="14875" width="2.7109375" customWidth="1"/>
    <col min="14876" max="14876" width="15.42578125" bestFit="1" customWidth="1"/>
    <col min="14877" max="14880" width="14.42578125" customWidth="1"/>
    <col min="15105" max="15105" width="2.42578125" customWidth="1"/>
    <col min="15106" max="15106" width="40.7109375" customWidth="1"/>
    <col min="15107" max="15107" width="2.7109375" customWidth="1"/>
    <col min="15108" max="15108" width="14" bestFit="1" customWidth="1"/>
    <col min="15109" max="15109" width="2" customWidth="1"/>
    <col min="15110" max="15117" width="15.28515625" bestFit="1" customWidth="1"/>
    <col min="15118" max="15118" width="2.7109375" customWidth="1"/>
    <col min="15119" max="15122" width="14" bestFit="1" customWidth="1"/>
    <col min="15123" max="15123" width="2.7109375" customWidth="1"/>
    <col min="15124" max="15124" width="62.140625" bestFit="1" customWidth="1"/>
    <col min="15125" max="15125" width="1.7109375" customWidth="1"/>
    <col min="15126" max="15130" width="15.7109375" customWidth="1"/>
    <col min="15131" max="15131" width="2.7109375" customWidth="1"/>
    <col min="15132" max="15132" width="15.42578125" bestFit="1" customWidth="1"/>
    <col min="15133" max="15136" width="14.42578125" customWidth="1"/>
    <col min="15361" max="15361" width="2.42578125" customWidth="1"/>
    <col min="15362" max="15362" width="40.7109375" customWidth="1"/>
    <col min="15363" max="15363" width="2.7109375" customWidth="1"/>
    <col min="15364" max="15364" width="14" bestFit="1" customWidth="1"/>
    <col min="15365" max="15365" width="2" customWidth="1"/>
    <col min="15366" max="15373" width="15.28515625" bestFit="1" customWidth="1"/>
    <col min="15374" max="15374" width="2.7109375" customWidth="1"/>
    <col min="15375" max="15378" width="14" bestFit="1" customWidth="1"/>
    <col min="15379" max="15379" width="2.7109375" customWidth="1"/>
    <col min="15380" max="15380" width="62.140625" bestFit="1" customWidth="1"/>
    <col min="15381" max="15381" width="1.7109375" customWidth="1"/>
    <col min="15382" max="15386" width="15.7109375" customWidth="1"/>
    <col min="15387" max="15387" width="2.7109375" customWidth="1"/>
    <col min="15388" max="15388" width="15.42578125" bestFit="1" customWidth="1"/>
    <col min="15389" max="15392" width="14.42578125" customWidth="1"/>
    <col min="15617" max="15617" width="2.42578125" customWidth="1"/>
    <col min="15618" max="15618" width="40.7109375" customWidth="1"/>
    <col min="15619" max="15619" width="2.7109375" customWidth="1"/>
    <col min="15620" max="15620" width="14" bestFit="1" customWidth="1"/>
    <col min="15621" max="15621" width="2" customWidth="1"/>
    <col min="15622" max="15629" width="15.28515625" bestFit="1" customWidth="1"/>
    <col min="15630" max="15630" width="2.7109375" customWidth="1"/>
    <col min="15631" max="15634" width="14" bestFit="1" customWidth="1"/>
    <col min="15635" max="15635" width="2.7109375" customWidth="1"/>
    <col min="15636" max="15636" width="62.140625" bestFit="1" customWidth="1"/>
    <col min="15637" max="15637" width="1.7109375" customWidth="1"/>
    <col min="15638" max="15642" width="15.7109375" customWidth="1"/>
    <col min="15643" max="15643" width="2.7109375" customWidth="1"/>
    <col min="15644" max="15644" width="15.42578125" bestFit="1" customWidth="1"/>
    <col min="15645" max="15648" width="14.42578125" customWidth="1"/>
    <col min="15873" max="15873" width="2.42578125" customWidth="1"/>
    <col min="15874" max="15874" width="40.7109375" customWidth="1"/>
    <col min="15875" max="15875" width="2.7109375" customWidth="1"/>
    <col min="15876" max="15876" width="14" bestFit="1" customWidth="1"/>
    <col min="15877" max="15877" width="2" customWidth="1"/>
    <col min="15878" max="15885" width="15.28515625" bestFit="1" customWidth="1"/>
    <col min="15886" max="15886" width="2.7109375" customWidth="1"/>
    <col min="15887" max="15890" width="14" bestFit="1" customWidth="1"/>
    <col min="15891" max="15891" width="2.7109375" customWidth="1"/>
    <col min="15892" max="15892" width="62.140625" bestFit="1" customWidth="1"/>
    <col min="15893" max="15893" width="1.7109375" customWidth="1"/>
    <col min="15894" max="15898" width="15.7109375" customWidth="1"/>
    <col min="15899" max="15899" width="2.7109375" customWidth="1"/>
    <col min="15900" max="15900" width="15.42578125" bestFit="1" customWidth="1"/>
    <col min="15901" max="15904" width="14.42578125" customWidth="1"/>
    <col min="16129" max="16129" width="2.42578125" customWidth="1"/>
    <col min="16130" max="16130" width="40.7109375" customWidth="1"/>
    <col min="16131" max="16131" width="2.7109375" customWidth="1"/>
    <col min="16132" max="16132" width="14" bestFit="1" customWidth="1"/>
    <col min="16133" max="16133" width="2" customWidth="1"/>
    <col min="16134" max="16141" width="15.28515625" bestFit="1" customWidth="1"/>
    <col min="16142" max="16142" width="2.7109375" customWidth="1"/>
    <col min="16143" max="16146" width="14" bestFit="1" customWidth="1"/>
    <col min="16147" max="16147" width="2.7109375" customWidth="1"/>
    <col min="16148" max="16148" width="62.140625" bestFit="1" customWidth="1"/>
    <col min="16149" max="16149" width="1.7109375" customWidth="1"/>
    <col min="16150" max="16154" width="15.7109375" customWidth="1"/>
    <col min="16155" max="16155" width="2.7109375" customWidth="1"/>
    <col min="16156" max="16156" width="15.42578125" bestFit="1" customWidth="1"/>
    <col min="16157" max="16160" width="14.42578125" customWidth="1"/>
  </cols>
  <sheetData>
    <row r="1" spans="1:20" s="25" customFormat="1" ht="15">
      <c r="A1" s="123"/>
      <c r="B1" s="123"/>
      <c r="C1" s="123"/>
      <c r="D1" s="123"/>
      <c r="E1" s="123"/>
      <c r="F1" s="123"/>
      <c r="G1" s="123"/>
      <c r="H1" s="123"/>
      <c r="I1" s="123"/>
      <c r="J1" s="123"/>
      <c r="K1" s="123"/>
      <c r="L1" s="123"/>
      <c r="M1" s="123"/>
      <c r="N1" s="123"/>
      <c r="O1" s="123"/>
      <c r="P1" s="123"/>
      <c r="Q1" s="123"/>
      <c r="R1" s="123"/>
      <c r="S1" s="123"/>
      <c r="T1" s="409"/>
    </row>
    <row r="2" spans="1:20" s="25" customFormat="1" ht="21">
      <c r="A2" s="521"/>
      <c r="B2" s="149" t="str">
        <f>IF(School="",Mssg1,School)</f>
        <v>Please enter school name on tab - "1) Name of School"</v>
      </c>
      <c r="C2" s="149"/>
      <c r="D2" s="40"/>
      <c r="E2" s="40"/>
      <c r="F2" s="40"/>
      <c r="G2" s="40"/>
      <c r="H2" s="40"/>
      <c r="I2" s="40"/>
      <c r="J2" s="40"/>
      <c r="K2" s="40"/>
      <c r="L2" s="40"/>
      <c r="M2" s="40"/>
      <c r="N2" s="40"/>
      <c r="O2" s="40"/>
      <c r="P2" s="40"/>
      <c r="Q2" s="40"/>
      <c r="R2" s="40"/>
      <c r="S2" s="40"/>
      <c r="T2" s="40"/>
    </row>
    <row r="3" spans="1:20" s="25" customFormat="1" ht="18.75" customHeight="1">
      <c r="A3" s="521"/>
      <c r="B3" s="149" t="str">
        <f>IF(CONTROL!J12=0,Mssg2,AcadYr1)</f>
        <v>2024-25</v>
      </c>
      <c r="C3" s="149"/>
      <c r="D3" s="40"/>
      <c r="E3" s="40"/>
      <c r="F3" s="40"/>
      <c r="G3" s="40"/>
      <c r="H3" s="40"/>
      <c r="I3" s="40"/>
      <c r="J3" s="40"/>
      <c r="K3" s="40"/>
      <c r="L3" s="40"/>
      <c r="M3" s="40"/>
      <c r="N3" s="40"/>
      <c r="O3" s="40"/>
      <c r="P3" s="40"/>
      <c r="Q3" s="40"/>
      <c r="R3" s="40"/>
      <c r="S3" s="40"/>
      <c r="T3" s="40"/>
    </row>
    <row r="4" spans="1:20" s="25" customFormat="1" ht="10.5" customHeight="1">
      <c r="A4" s="521"/>
      <c r="B4" s="522"/>
      <c r="C4" s="522"/>
      <c r="D4" s="40"/>
      <c r="E4" s="40"/>
      <c r="F4" s="40"/>
      <c r="G4" s="40"/>
      <c r="H4" s="40"/>
      <c r="I4" s="40"/>
      <c r="J4" s="40"/>
      <c r="K4" s="40"/>
      <c r="L4" s="40"/>
      <c r="M4" s="40"/>
      <c r="N4" s="40"/>
      <c r="O4" s="40"/>
      <c r="P4" s="40"/>
      <c r="Q4" s="40"/>
      <c r="R4" s="40"/>
      <c r="S4" s="40"/>
      <c r="T4" s="40"/>
    </row>
    <row r="5" spans="1:20" s="25" customFormat="1" ht="9" customHeight="1">
      <c r="A5" s="521"/>
      <c r="B5" s="522"/>
      <c r="C5" s="522"/>
      <c r="D5" s="522"/>
      <c r="E5" s="522"/>
      <c r="F5" s="522"/>
      <c r="G5" s="522"/>
      <c r="H5" s="522"/>
      <c r="I5" s="522"/>
      <c r="J5" s="522"/>
      <c r="K5" s="522"/>
      <c r="L5" s="522"/>
      <c r="M5" s="522"/>
      <c r="N5" s="522"/>
      <c r="O5" s="522"/>
      <c r="P5" s="522"/>
      <c r="Q5" s="522"/>
      <c r="R5" s="522"/>
      <c r="S5" s="522"/>
    </row>
    <row r="6" spans="1:20" s="25" customFormat="1" ht="21">
      <c r="A6" s="521"/>
      <c r="B6" s="488" t="s">
        <v>319</v>
      </c>
      <c r="C6" s="489"/>
      <c r="D6" s="486"/>
      <c r="E6" s="486"/>
      <c r="F6" s="486"/>
      <c r="G6" s="486"/>
      <c r="H6" s="486"/>
      <c r="I6" s="486"/>
      <c r="J6" s="486"/>
      <c r="K6" s="486"/>
      <c r="L6" s="486"/>
      <c r="M6" s="486"/>
      <c r="N6" s="486"/>
      <c r="O6" s="486"/>
      <c r="P6" s="486"/>
      <c r="Q6" s="486"/>
      <c r="R6" s="486"/>
      <c r="S6" s="486"/>
      <c r="T6" s="490"/>
    </row>
    <row r="7" spans="1:20" s="25" customFormat="1" ht="15.75" customHeight="1">
      <c r="A7" s="123"/>
      <c r="B7" s="150"/>
      <c r="C7" s="516"/>
      <c r="D7" s="148"/>
      <c r="E7" s="123"/>
      <c r="F7" s="123"/>
      <c r="G7" s="123"/>
      <c r="H7" s="123"/>
      <c r="I7" s="123"/>
      <c r="J7" s="123"/>
      <c r="K7" s="123"/>
      <c r="L7" s="123"/>
      <c r="M7" s="123"/>
      <c r="N7" s="123"/>
      <c r="O7" s="123"/>
      <c r="P7" s="123"/>
      <c r="Q7" s="123"/>
      <c r="R7" s="123"/>
      <c r="S7" s="123"/>
    </row>
    <row r="8" spans="1:20" s="25" customFormat="1" ht="30">
      <c r="A8" s="123"/>
      <c r="B8" s="740" t="s">
        <v>343</v>
      </c>
      <c r="F8" s="975" t="s">
        <v>511</v>
      </c>
      <c r="G8" s="978"/>
      <c r="H8" s="978"/>
      <c r="I8" s="978"/>
      <c r="J8" s="978"/>
      <c r="K8" s="978"/>
      <c r="L8" s="978"/>
      <c r="M8" s="977"/>
      <c r="O8" s="975" t="s">
        <v>512</v>
      </c>
      <c r="P8" s="976"/>
      <c r="Q8" s="976"/>
      <c r="R8" s="977"/>
      <c r="S8"/>
      <c r="T8" s="740" t="s">
        <v>510</v>
      </c>
    </row>
    <row r="9" spans="1:20" s="25" customFormat="1" ht="15">
      <c r="A9" s="123"/>
      <c r="B9" s="741"/>
      <c r="C9" s="125"/>
      <c r="D9" s="125"/>
      <c r="E9" s="123"/>
      <c r="F9" s="123"/>
      <c r="G9" s="123"/>
      <c r="H9" s="123"/>
      <c r="I9" s="123"/>
      <c r="J9" s="123"/>
      <c r="K9" s="123"/>
      <c r="L9" s="123"/>
      <c r="M9" s="123"/>
      <c r="N9" s="123"/>
      <c r="O9" s="123"/>
      <c r="P9" s="123"/>
      <c r="Q9" s="123"/>
      <c r="R9" s="123"/>
      <c r="S9" s="123"/>
      <c r="T9" s="23"/>
    </row>
    <row r="10" spans="1:20" s="25" customFormat="1" ht="15">
      <c r="A10" s="123"/>
      <c r="B10" s="709" t="s">
        <v>158</v>
      </c>
      <c r="C10" s="125"/>
      <c r="D10" s="709" t="s">
        <v>327</v>
      </c>
      <c r="F10" s="552" t="s">
        <v>341</v>
      </c>
      <c r="G10" s="552"/>
      <c r="H10" s="552"/>
      <c r="I10" s="552"/>
      <c r="J10" s="552"/>
      <c r="K10" s="552"/>
      <c r="L10" s="552"/>
      <c r="M10" s="713"/>
      <c r="N10" s="123"/>
      <c r="O10" s="552" t="s">
        <v>342</v>
      </c>
      <c r="P10" s="715"/>
      <c r="Q10" s="715"/>
      <c r="R10" s="716"/>
      <c r="S10"/>
      <c r="T10" s="487" t="s">
        <v>163</v>
      </c>
    </row>
    <row r="11" spans="1:20" s="25" customFormat="1" ht="15" customHeight="1">
      <c r="A11" s="123"/>
      <c r="B11" s="979"/>
      <c r="C11" s="24"/>
      <c r="D11" s="710" t="str">
        <f>PriorPeriod</f>
        <v>2023-24</v>
      </c>
      <c r="F11" s="551" t="s">
        <v>194</v>
      </c>
      <c r="G11" s="550"/>
      <c r="H11" s="551" t="s">
        <v>195</v>
      </c>
      <c r="I11" s="550"/>
      <c r="J11" s="551" t="s">
        <v>196</v>
      </c>
      <c r="K11" s="550"/>
      <c r="L11" s="551" t="s">
        <v>197</v>
      </c>
      <c r="M11" s="550"/>
      <c r="O11" s="551" t="s">
        <v>194</v>
      </c>
      <c r="P11" s="551" t="s">
        <v>195</v>
      </c>
      <c r="Q11" s="551" t="s">
        <v>196</v>
      </c>
      <c r="R11" s="551" t="s">
        <v>197</v>
      </c>
      <c r="S11"/>
      <c r="T11" s="143"/>
    </row>
    <row r="12" spans="1:20" s="25" customFormat="1" ht="15" customHeight="1">
      <c r="A12" s="123"/>
      <c r="B12" s="980"/>
      <c r="C12" s="24"/>
      <c r="D12" s="711" t="s">
        <v>326</v>
      </c>
      <c r="F12" s="551" t="s">
        <v>344</v>
      </c>
      <c r="G12" s="551" t="s">
        <v>345</v>
      </c>
      <c r="H12" s="551" t="s">
        <v>344</v>
      </c>
      <c r="I12" s="551" t="s">
        <v>345</v>
      </c>
      <c r="J12" s="551" t="s">
        <v>344</v>
      </c>
      <c r="K12" s="551" t="s">
        <v>345</v>
      </c>
      <c r="L12" s="551" t="s">
        <v>344</v>
      </c>
      <c r="M12" s="551" t="s">
        <v>345</v>
      </c>
      <c r="O12" s="553" t="s">
        <v>307</v>
      </c>
      <c r="P12" s="553" t="s">
        <v>307</v>
      </c>
      <c r="Q12" s="553" t="s">
        <v>307</v>
      </c>
      <c r="R12" s="553" t="s">
        <v>307</v>
      </c>
      <c r="S12"/>
      <c r="T12" s="143"/>
    </row>
    <row r="13" spans="1:20" s="25" customFormat="1" ht="15">
      <c r="A13" s="123"/>
      <c r="B13" s="718" t="s">
        <v>110</v>
      </c>
      <c r="C13" s="491"/>
      <c r="D13" s="572"/>
      <c r="F13" s="572"/>
      <c r="G13" s="572"/>
      <c r="H13" s="572"/>
      <c r="I13" s="572"/>
      <c r="J13" s="572"/>
      <c r="K13" s="572"/>
      <c r="L13" s="572"/>
      <c r="M13" s="572"/>
      <c r="O13" s="572"/>
      <c r="P13" s="572"/>
      <c r="Q13" s="572"/>
      <c r="R13" s="572"/>
      <c r="S13"/>
      <c r="T13" s="143"/>
    </row>
    <row r="14" spans="1:20" s="25" customFormat="1" ht="15">
      <c r="A14" s="123"/>
      <c r="B14" s="718" t="s">
        <v>111</v>
      </c>
      <c r="C14" s="491"/>
      <c r="D14" s="572"/>
      <c r="F14" s="572"/>
      <c r="G14" s="572"/>
      <c r="H14" s="572"/>
      <c r="I14" s="572"/>
      <c r="J14" s="572"/>
      <c r="K14" s="572"/>
      <c r="L14" s="572"/>
      <c r="M14" s="572"/>
      <c r="O14" s="572"/>
      <c r="P14" s="572"/>
      <c r="Q14" s="572"/>
      <c r="R14" s="572"/>
      <c r="S14"/>
      <c r="T14" s="143"/>
    </row>
    <row r="15" spans="1:20" s="25" customFormat="1" ht="15">
      <c r="A15" s="123"/>
      <c r="B15" s="718" t="s">
        <v>112</v>
      </c>
      <c r="C15" s="491"/>
      <c r="D15" s="572"/>
      <c r="F15" s="572"/>
      <c r="G15" s="572"/>
      <c r="H15" s="572"/>
      <c r="I15" s="572"/>
      <c r="J15" s="572"/>
      <c r="K15" s="572"/>
      <c r="L15" s="572"/>
      <c r="M15" s="572"/>
      <c r="O15" s="572"/>
      <c r="P15" s="572"/>
      <c r="Q15" s="572"/>
      <c r="R15" s="572"/>
      <c r="S15"/>
      <c r="T15" s="143"/>
    </row>
    <row r="16" spans="1:20" s="25" customFormat="1" ht="15">
      <c r="A16" s="123"/>
      <c r="B16" s="718" t="s">
        <v>98</v>
      </c>
      <c r="C16" s="491"/>
      <c r="D16" s="572"/>
      <c r="F16" s="572"/>
      <c r="G16" s="572"/>
      <c r="H16" s="572"/>
      <c r="I16" s="572"/>
      <c r="J16" s="572"/>
      <c r="K16" s="572"/>
      <c r="L16" s="572"/>
      <c r="M16" s="572"/>
      <c r="O16" s="572"/>
      <c r="P16" s="572"/>
      <c r="Q16" s="572"/>
      <c r="R16" s="572"/>
      <c r="S16"/>
      <c r="T16" s="143"/>
    </row>
    <row r="17" spans="1:20" s="25" customFormat="1" ht="15">
      <c r="A17" s="123"/>
      <c r="B17" s="718" t="s">
        <v>99</v>
      </c>
      <c r="C17" s="491"/>
      <c r="D17" s="572"/>
      <c r="F17" s="572"/>
      <c r="G17" s="572"/>
      <c r="H17" s="572"/>
      <c r="I17" s="572"/>
      <c r="J17" s="572"/>
      <c r="K17" s="572"/>
      <c r="L17" s="572"/>
      <c r="M17" s="572"/>
      <c r="O17" s="572"/>
      <c r="P17" s="572"/>
      <c r="Q17" s="572"/>
      <c r="R17" s="572"/>
      <c r="S17"/>
      <c r="T17" s="143"/>
    </row>
    <row r="18" spans="1:20" s="25" customFormat="1" ht="15">
      <c r="A18" s="123"/>
      <c r="B18" s="718" t="s">
        <v>113</v>
      </c>
      <c r="C18" s="491"/>
      <c r="D18" s="572"/>
      <c r="F18" s="572"/>
      <c r="G18" s="572"/>
      <c r="H18" s="572"/>
      <c r="I18" s="572"/>
      <c r="J18" s="572"/>
      <c r="K18" s="572"/>
      <c r="L18" s="572"/>
      <c r="M18" s="572"/>
      <c r="O18" s="572"/>
      <c r="P18" s="572"/>
      <c r="Q18" s="572"/>
      <c r="R18" s="572"/>
      <c r="S18"/>
      <c r="T18" s="143"/>
    </row>
    <row r="19" spans="1:20" s="25" customFormat="1" ht="15">
      <c r="A19" s="123"/>
      <c r="B19" s="719" t="s">
        <v>75</v>
      </c>
      <c r="C19" s="492"/>
      <c r="D19" s="554">
        <f>SUM(D13:D18)</f>
        <v>0</v>
      </c>
      <c r="F19" s="554">
        <f t="shared" ref="F19:M19" si="0">SUM(F13:F18)</f>
        <v>0</v>
      </c>
      <c r="G19" s="554">
        <f t="shared" si="0"/>
        <v>0</v>
      </c>
      <c r="H19" s="554">
        <f t="shared" si="0"/>
        <v>0</v>
      </c>
      <c r="I19" s="554">
        <f t="shared" si="0"/>
        <v>0</v>
      </c>
      <c r="J19" s="554">
        <f t="shared" si="0"/>
        <v>0</v>
      </c>
      <c r="K19" s="554">
        <f t="shared" si="0"/>
        <v>0</v>
      </c>
      <c r="L19" s="554">
        <f t="shared" si="0"/>
        <v>0</v>
      </c>
      <c r="M19" s="554">
        <f t="shared" si="0"/>
        <v>0</v>
      </c>
      <c r="O19" s="554">
        <f>SUM(O13:O18)</f>
        <v>0</v>
      </c>
      <c r="P19" s="554">
        <f>SUM(P13:P18)</f>
        <v>0</v>
      </c>
      <c r="Q19" s="554">
        <f>SUM(Q13:Q18)</f>
        <v>0</v>
      </c>
      <c r="R19" s="554">
        <f>SUM(R13:R18)</f>
        <v>0</v>
      </c>
      <c r="S19" s="146"/>
      <c r="T19" s="143"/>
    </row>
    <row r="20" spans="1:20" s="25" customFormat="1" ht="15" customHeight="1">
      <c r="A20" s="123"/>
      <c r="B20" s="712"/>
      <c r="C20" s="21"/>
      <c r="D20" s="712"/>
      <c r="E20" s="472"/>
      <c r="F20" s="714"/>
      <c r="G20" s="714"/>
      <c r="H20" s="714"/>
      <c r="I20" s="714"/>
      <c r="J20" s="714"/>
      <c r="K20" s="714"/>
      <c r="L20" s="714"/>
      <c r="M20" s="714"/>
      <c r="N20" s="472"/>
      <c r="O20" s="717"/>
      <c r="P20" s="717"/>
      <c r="Q20" s="717"/>
      <c r="R20" s="717"/>
    </row>
    <row r="21" spans="1:20" s="25" customFormat="1" ht="15" customHeight="1">
      <c r="A21" s="123"/>
      <c r="B21" s="709" t="s">
        <v>159</v>
      </c>
      <c r="C21" s="21"/>
      <c r="D21" s="709" t="s">
        <v>327</v>
      </c>
      <c r="E21" s="472"/>
      <c r="F21" s="552" t="s">
        <v>341</v>
      </c>
      <c r="G21" s="552"/>
      <c r="H21" s="552"/>
      <c r="I21" s="552"/>
      <c r="J21" s="552"/>
      <c r="K21" s="552"/>
      <c r="L21" s="552"/>
      <c r="M21" s="713"/>
      <c r="N21" s="123"/>
      <c r="O21" s="552" t="s">
        <v>342</v>
      </c>
      <c r="P21" s="715"/>
      <c r="Q21" s="715"/>
      <c r="R21" s="716"/>
      <c r="T21" s="487" t="s">
        <v>163</v>
      </c>
    </row>
    <row r="22" spans="1:20" s="25" customFormat="1" ht="15" customHeight="1">
      <c r="A22" s="123"/>
      <c r="B22" s="979"/>
      <c r="C22" s="21"/>
      <c r="D22" s="710" t="str">
        <f>PriorPeriod</f>
        <v>2023-24</v>
      </c>
      <c r="E22" s="472"/>
      <c r="F22" s="551" t="s">
        <v>194</v>
      </c>
      <c r="G22" s="550"/>
      <c r="H22" s="551" t="s">
        <v>195</v>
      </c>
      <c r="I22" s="550"/>
      <c r="J22" s="551" t="s">
        <v>196</v>
      </c>
      <c r="K22" s="550"/>
      <c r="L22" s="551" t="s">
        <v>197</v>
      </c>
      <c r="M22" s="550"/>
      <c r="N22" s="472"/>
      <c r="O22" s="551" t="s">
        <v>194</v>
      </c>
      <c r="P22" s="551" t="s">
        <v>195</v>
      </c>
      <c r="Q22" s="551" t="s">
        <v>196</v>
      </c>
      <c r="R22" s="551" t="s">
        <v>197</v>
      </c>
      <c r="S22" s="146"/>
      <c r="T22" s="143"/>
    </row>
    <row r="23" spans="1:20" s="25" customFormat="1" ht="15">
      <c r="A23" s="123"/>
      <c r="B23" s="980"/>
      <c r="C23" s="24"/>
      <c r="D23" s="711" t="s">
        <v>326</v>
      </c>
      <c r="F23" s="551" t="s">
        <v>344</v>
      </c>
      <c r="G23" s="551" t="s">
        <v>345</v>
      </c>
      <c r="H23" s="551" t="s">
        <v>344</v>
      </c>
      <c r="I23" s="551" t="s">
        <v>345</v>
      </c>
      <c r="J23" s="551" t="s">
        <v>344</v>
      </c>
      <c r="K23" s="551" t="s">
        <v>345</v>
      </c>
      <c r="L23" s="551" t="s">
        <v>344</v>
      </c>
      <c r="M23" s="551" t="s">
        <v>345</v>
      </c>
      <c r="O23" s="553" t="s">
        <v>307</v>
      </c>
      <c r="P23" s="553" t="s">
        <v>307</v>
      </c>
      <c r="Q23" s="553" t="s">
        <v>307</v>
      </c>
      <c r="R23" s="553" t="s">
        <v>307</v>
      </c>
      <c r="T23" s="143"/>
    </row>
    <row r="24" spans="1:20" s="25" customFormat="1" ht="15" customHeight="1">
      <c r="A24" s="123"/>
      <c r="B24" s="718" t="s">
        <v>51</v>
      </c>
      <c r="C24" s="24"/>
      <c r="D24" s="572"/>
      <c r="F24" s="572"/>
      <c r="G24" s="572"/>
      <c r="H24" s="572"/>
      <c r="I24" s="572"/>
      <c r="J24" s="572"/>
      <c r="K24" s="572"/>
      <c r="L24" s="572"/>
      <c r="M24" s="572"/>
      <c r="O24" s="572"/>
      <c r="P24" s="572"/>
      <c r="Q24" s="572"/>
      <c r="R24" s="572"/>
      <c r="T24" s="143"/>
    </row>
    <row r="25" spans="1:20" s="25" customFormat="1" ht="15" customHeight="1">
      <c r="A25" s="123"/>
      <c r="B25" s="718" t="s">
        <v>52</v>
      </c>
      <c r="C25" s="24"/>
      <c r="D25" s="572"/>
      <c r="F25" s="572"/>
      <c r="G25" s="572"/>
      <c r="H25" s="572"/>
      <c r="I25" s="572"/>
      <c r="J25" s="572"/>
      <c r="K25" s="572"/>
      <c r="L25" s="572"/>
      <c r="M25" s="572"/>
      <c r="O25" s="572"/>
      <c r="P25" s="572"/>
      <c r="Q25" s="572"/>
      <c r="R25" s="572"/>
      <c r="T25" s="143"/>
    </row>
    <row r="26" spans="1:20" s="25" customFormat="1" ht="15" customHeight="1">
      <c r="A26" s="123"/>
      <c r="B26" s="718" t="s">
        <v>10</v>
      </c>
      <c r="C26" s="24"/>
      <c r="D26" s="572"/>
      <c r="F26" s="572"/>
      <c r="G26" s="572"/>
      <c r="H26" s="572"/>
      <c r="I26" s="572"/>
      <c r="J26" s="572"/>
      <c r="K26" s="572"/>
      <c r="L26" s="572"/>
      <c r="M26" s="572"/>
      <c r="O26" s="572"/>
      <c r="P26" s="572"/>
      <c r="Q26" s="572"/>
      <c r="R26" s="572"/>
      <c r="T26" s="143"/>
    </row>
    <row r="27" spans="1:20" s="25" customFormat="1" ht="15" customHeight="1">
      <c r="A27" s="123"/>
      <c r="B27" s="718" t="s">
        <v>11</v>
      </c>
      <c r="C27" s="24"/>
      <c r="D27" s="572"/>
      <c r="F27" s="572"/>
      <c r="G27" s="572"/>
      <c r="H27" s="572"/>
      <c r="I27" s="572"/>
      <c r="J27" s="572"/>
      <c r="K27" s="572"/>
      <c r="L27" s="572"/>
      <c r="M27" s="572"/>
      <c r="O27" s="572"/>
      <c r="P27" s="572"/>
      <c r="Q27" s="572"/>
      <c r="R27" s="572"/>
      <c r="T27" s="143"/>
    </row>
    <row r="28" spans="1:20" s="25" customFormat="1" ht="15" customHeight="1">
      <c r="A28" s="123"/>
      <c r="B28" s="718" t="s">
        <v>12</v>
      </c>
      <c r="C28" s="24"/>
      <c r="D28" s="572"/>
      <c r="F28" s="572"/>
      <c r="G28" s="572"/>
      <c r="H28" s="572"/>
      <c r="I28" s="572"/>
      <c r="J28" s="572"/>
      <c r="K28" s="572"/>
      <c r="L28" s="572"/>
      <c r="M28" s="572"/>
      <c r="O28" s="572"/>
      <c r="P28" s="572"/>
      <c r="Q28" s="572"/>
      <c r="R28" s="572"/>
      <c r="T28" s="143"/>
    </row>
    <row r="29" spans="1:20" s="25" customFormat="1" ht="15">
      <c r="A29" s="123"/>
      <c r="B29" s="718" t="s">
        <v>13</v>
      </c>
      <c r="C29" s="24"/>
      <c r="D29" s="572"/>
      <c r="F29" s="572"/>
      <c r="G29" s="572"/>
      <c r="H29" s="572"/>
      <c r="I29" s="572"/>
      <c r="J29" s="572"/>
      <c r="K29" s="572"/>
      <c r="L29" s="572"/>
      <c r="M29" s="572"/>
      <c r="O29" s="572"/>
      <c r="P29" s="572"/>
      <c r="Q29" s="572"/>
      <c r="R29" s="572"/>
      <c r="T29" s="143"/>
    </row>
    <row r="30" spans="1:20" s="25" customFormat="1" ht="15" customHeight="1">
      <c r="A30" s="123"/>
      <c r="B30" s="718" t="s">
        <v>73</v>
      </c>
      <c r="C30" s="24"/>
      <c r="D30" s="572"/>
      <c r="F30" s="572"/>
      <c r="G30" s="572"/>
      <c r="H30" s="572"/>
      <c r="I30" s="572"/>
      <c r="J30" s="572"/>
      <c r="K30" s="572"/>
      <c r="L30" s="572"/>
      <c r="M30" s="572"/>
      <c r="O30" s="572"/>
      <c r="P30" s="572"/>
      <c r="Q30" s="572"/>
      <c r="R30" s="572"/>
      <c r="T30" s="143"/>
    </row>
    <row r="31" spans="1:20" s="25" customFormat="1" ht="15" customHeight="1">
      <c r="A31" s="123"/>
      <c r="B31" s="718" t="s">
        <v>29</v>
      </c>
      <c r="C31" s="24"/>
      <c r="D31" s="572"/>
      <c r="F31" s="572"/>
      <c r="G31" s="572"/>
      <c r="H31" s="572"/>
      <c r="I31" s="572"/>
      <c r="J31" s="572"/>
      <c r="K31" s="572"/>
      <c r="L31" s="572"/>
      <c r="M31" s="572"/>
      <c r="O31" s="572"/>
      <c r="P31" s="572"/>
      <c r="Q31" s="572"/>
      <c r="R31" s="572"/>
      <c r="T31" s="143"/>
    </row>
    <row r="32" spans="1:20" s="25" customFormat="1" ht="20.100000000000001" customHeight="1">
      <c r="A32" s="123"/>
      <c r="B32" s="718" t="s">
        <v>78</v>
      </c>
      <c r="C32" s="24"/>
      <c r="D32" s="549">
        <f>SUM(D24:D31)</f>
        <v>0</v>
      </c>
      <c r="F32" s="549">
        <f t="shared" ref="F32:L32" si="1">SUM(F24:F31)</f>
        <v>0</v>
      </c>
      <c r="G32" s="549">
        <f t="shared" si="1"/>
        <v>0</v>
      </c>
      <c r="H32" s="549">
        <f t="shared" si="1"/>
        <v>0</v>
      </c>
      <c r="I32" s="549">
        <f t="shared" si="1"/>
        <v>0</v>
      </c>
      <c r="J32" s="549">
        <f t="shared" si="1"/>
        <v>0</v>
      </c>
      <c r="K32" s="549">
        <f t="shared" si="1"/>
        <v>0</v>
      </c>
      <c r="L32" s="549">
        <f t="shared" si="1"/>
        <v>0</v>
      </c>
      <c r="M32" s="549">
        <f>SUM(M24:M31)</f>
        <v>0</v>
      </c>
      <c r="O32" s="549">
        <f>SUM(O24:O31)</f>
        <v>0</v>
      </c>
      <c r="P32" s="549">
        <f>SUM(P24:P31)</f>
        <v>0</v>
      </c>
      <c r="Q32" s="549">
        <f>SUM(Q24:Q31)</f>
        <v>0</v>
      </c>
      <c r="R32" s="549">
        <f>SUM(R24:R31)</f>
        <v>0</v>
      </c>
      <c r="T32" s="143"/>
    </row>
    <row r="33" spans="1:20" s="25" customFormat="1" ht="15">
      <c r="A33" s="123"/>
      <c r="B33" s="712"/>
      <c r="C33" s="21"/>
      <c r="D33" s="712"/>
      <c r="E33" s="472"/>
      <c r="F33" s="714"/>
      <c r="G33" s="714"/>
      <c r="H33" s="714"/>
      <c r="I33" s="714"/>
      <c r="J33" s="714"/>
      <c r="K33" s="714"/>
      <c r="L33" s="714"/>
      <c r="M33" s="714"/>
      <c r="N33" s="472"/>
      <c r="O33" s="717"/>
      <c r="P33" s="717"/>
      <c r="Q33" s="717"/>
      <c r="R33" s="717"/>
      <c r="S33" s="472"/>
      <c r="T33" s="22"/>
    </row>
    <row r="34" spans="1:20" s="25" customFormat="1" ht="15">
      <c r="A34" s="123"/>
      <c r="B34" s="709" t="s">
        <v>160</v>
      </c>
      <c r="C34" s="21"/>
      <c r="D34" s="709" t="s">
        <v>327</v>
      </c>
      <c r="E34" s="472"/>
      <c r="F34" s="552" t="s">
        <v>341</v>
      </c>
      <c r="G34" s="552"/>
      <c r="H34" s="552"/>
      <c r="I34" s="552"/>
      <c r="J34" s="552"/>
      <c r="K34" s="552"/>
      <c r="L34" s="552"/>
      <c r="M34" s="713"/>
      <c r="N34" s="472"/>
      <c r="O34" s="552" t="s">
        <v>342</v>
      </c>
      <c r="P34" s="715"/>
      <c r="Q34" s="715"/>
      <c r="R34" s="716"/>
      <c r="S34" s="472"/>
      <c r="T34" s="487" t="s">
        <v>163</v>
      </c>
    </row>
    <row r="35" spans="1:20" s="25" customFormat="1" ht="15" customHeight="1">
      <c r="A35" s="123"/>
      <c r="B35" s="979"/>
      <c r="C35" s="21"/>
      <c r="D35" s="710" t="str">
        <f>PriorPeriod</f>
        <v>2023-24</v>
      </c>
      <c r="E35" s="472"/>
      <c r="F35" s="551" t="s">
        <v>194</v>
      </c>
      <c r="G35" s="550"/>
      <c r="H35" s="551" t="s">
        <v>195</v>
      </c>
      <c r="I35" s="550"/>
      <c r="J35" s="551" t="s">
        <v>196</v>
      </c>
      <c r="K35" s="550"/>
      <c r="L35" s="551" t="s">
        <v>197</v>
      </c>
      <c r="M35" s="550"/>
      <c r="N35" s="472"/>
      <c r="O35" s="551" t="s">
        <v>194</v>
      </c>
      <c r="P35" s="551" t="s">
        <v>195</v>
      </c>
      <c r="Q35" s="551" t="s">
        <v>196</v>
      </c>
      <c r="R35" s="551" t="s">
        <v>197</v>
      </c>
      <c r="S35" s="472"/>
      <c r="T35" s="143"/>
    </row>
    <row r="36" spans="1:20" s="25" customFormat="1" ht="15">
      <c r="A36" s="123"/>
      <c r="B36" s="980"/>
      <c r="C36" s="24"/>
      <c r="D36" s="711" t="s">
        <v>326</v>
      </c>
      <c r="E36" s="472"/>
      <c r="F36" s="551" t="s">
        <v>344</v>
      </c>
      <c r="G36" s="551" t="s">
        <v>345</v>
      </c>
      <c r="H36" s="551" t="s">
        <v>344</v>
      </c>
      <c r="I36" s="551" t="s">
        <v>345</v>
      </c>
      <c r="J36" s="551" t="s">
        <v>344</v>
      </c>
      <c r="K36" s="551" t="s">
        <v>345</v>
      </c>
      <c r="L36" s="551" t="s">
        <v>344</v>
      </c>
      <c r="M36" s="551" t="s">
        <v>345</v>
      </c>
      <c r="O36" s="553" t="s">
        <v>307</v>
      </c>
      <c r="P36" s="553" t="s">
        <v>307</v>
      </c>
      <c r="Q36" s="553" t="s">
        <v>307</v>
      </c>
      <c r="R36" s="553" t="s">
        <v>307</v>
      </c>
      <c r="S36" s="472"/>
      <c r="T36" s="143"/>
    </row>
    <row r="37" spans="1:20" s="25" customFormat="1" ht="15" customHeight="1">
      <c r="A37" s="123"/>
      <c r="B37" s="718" t="s">
        <v>100</v>
      </c>
      <c r="C37" s="24"/>
      <c r="D37" s="572"/>
      <c r="E37" s="472"/>
      <c r="F37" s="572"/>
      <c r="G37" s="572"/>
      <c r="H37" s="572"/>
      <c r="I37" s="572"/>
      <c r="J37" s="572"/>
      <c r="K37" s="572"/>
      <c r="L37" s="572"/>
      <c r="M37" s="572"/>
      <c r="N37" s="472"/>
      <c r="O37" s="572"/>
      <c r="P37" s="572"/>
      <c r="Q37" s="572"/>
      <c r="R37" s="572"/>
      <c r="S37" s="126"/>
      <c r="T37" s="143"/>
    </row>
    <row r="38" spans="1:20" s="25" customFormat="1" ht="15" customHeight="1">
      <c r="A38" s="123"/>
      <c r="B38" s="718" t="s">
        <v>101</v>
      </c>
      <c r="C38" s="24"/>
      <c r="D38" s="572"/>
      <c r="E38" s="472"/>
      <c r="F38" s="572"/>
      <c r="G38" s="572"/>
      <c r="H38" s="572"/>
      <c r="I38" s="572"/>
      <c r="J38" s="572"/>
      <c r="K38" s="572"/>
      <c r="L38" s="572"/>
      <c r="M38" s="572"/>
      <c r="N38" s="472"/>
      <c r="O38" s="572"/>
      <c r="P38" s="572"/>
      <c r="Q38" s="572"/>
      <c r="R38" s="572"/>
      <c r="S38" s="126"/>
      <c r="T38" s="143"/>
    </row>
    <row r="39" spans="1:20" s="25" customFormat="1" ht="15" customHeight="1">
      <c r="A39" s="123"/>
      <c r="B39" s="718" t="s">
        <v>102</v>
      </c>
      <c r="C39" s="24"/>
      <c r="D39" s="572"/>
      <c r="E39" s="472"/>
      <c r="F39" s="572"/>
      <c r="G39" s="572"/>
      <c r="H39" s="572"/>
      <c r="I39" s="572"/>
      <c r="J39" s="572"/>
      <c r="K39" s="572"/>
      <c r="L39" s="572"/>
      <c r="M39" s="572"/>
      <c r="N39" s="472"/>
      <c r="O39" s="572"/>
      <c r="P39" s="572"/>
      <c r="Q39" s="572"/>
      <c r="R39" s="572"/>
      <c r="S39" s="126"/>
      <c r="T39" s="143"/>
    </row>
    <row r="40" spans="1:20" s="25" customFormat="1" ht="15" customHeight="1">
      <c r="A40" s="123"/>
      <c r="B40" s="718" t="s">
        <v>7</v>
      </c>
      <c r="C40" s="24"/>
      <c r="D40" s="572"/>
      <c r="E40" s="472"/>
      <c r="F40" s="572"/>
      <c r="G40" s="572"/>
      <c r="H40" s="572"/>
      <c r="I40" s="572"/>
      <c r="J40" s="572"/>
      <c r="K40" s="572"/>
      <c r="L40" s="572"/>
      <c r="M40" s="572"/>
      <c r="N40" s="472"/>
      <c r="O40" s="572"/>
      <c r="P40" s="572"/>
      <c r="Q40" s="572"/>
      <c r="R40" s="572"/>
      <c r="S40" s="126"/>
      <c r="T40" s="143"/>
    </row>
    <row r="41" spans="1:20" s="25" customFormat="1" ht="15" customHeight="1">
      <c r="A41" s="123"/>
      <c r="B41" s="718" t="s">
        <v>29</v>
      </c>
      <c r="C41" s="24"/>
      <c r="D41" s="572"/>
      <c r="E41" s="472"/>
      <c r="F41" s="572"/>
      <c r="G41" s="572"/>
      <c r="H41" s="572"/>
      <c r="I41" s="572"/>
      <c r="J41" s="572"/>
      <c r="K41" s="572"/>
      <c r="L41" s="572"/>
      <c r="M41" s="572"/>
      <c r="N41" s="472"/>
      <c r="O41" s="572"/>
      <c r="P41" s="572"/>
      <c r="Q41" s="572"/>
      <c r="R41" s="572"/>
      <c r="S41" s="126"/>
      <c r="T41" s="143"/>
    </row>
    <row r="42" spans="1:20" s="25" customFormat="1" ht="20.100000000000001" customHeight="1">
      <c r="A42" s="123"/>
      <c r="B42" s="719" t="s">
        <v>80</v>
      </c>
      <c r="C42" s="24"/>
      <c r="D42" s="554">
        <f t="shared" ref="D42:M42" si="2">SUM(D37:D41)</f>
        <v>0</v>
      </c>
      <c r="E42" s="472"/>
      <c r="F42" s="554">
        <f t="shared" si="2"/>
        <v>0</v>
      </c>
      <c r="G42" s="554">
        <f t="shared" si="2"/>
        <v>0</v>
      </c>
      <c r="H42" s="554">
        <f t="shared" si="2"/>
        <v>0</v>
      </c>
      <c r="I42" s="554">
        <f t="shared" si="2"/>
        <v>0</v>
      </c>
      <c r="J42" s="554">
        <f t="shared" si="2"/>
        <v>0</v>
      </c>
      <c r="K42" s="554">
        <f t="shared" si="2"/>
        <v>0</v>
      </c>
      <c r="L42" s="554">
        <f t="shared" si="2"/>
        <v>0</v>
      </c>
      <c r="M42" s="554">
        <f t="shared" si="2"/>
        <v>0</v>
      </c>
      <c r="N42" s="472"/>
      <c r="O42" s="554">
        <f>SUM(O37:O41)</f>
        <v>0</v>
      </c>
      <c r="P42" s="554">
        <f>SUM(P37:P41)</f>
        <v>0</v>
      </c>
      <c r="Q42" s="554">
        <f>SUM(Q37:Q41)</f>
        <v>0</v>
      </c>
      <c r="R42" s="554">
        <f>SUM(R37:R41)</f>
        <v>0</v>
      </c>
      <c r="S42" s="126"/>
      <c r="T42" s="143"/>
    </row>
    <row r="43" spans="1:20" s="25" customFormat="1" ht="15">
      <c r="A43" s="123"/>
      <c r="B43" s="712"/>
      <c r="C43" s="21"/>
      <c r="D43" s="712"/>
      <c r="E43" s="472"/>
      <c r="F43" s="714"/>
      <c r="G43" s="714"/>
      <c r="H43" s="714"/>
      <c r="I43" s="714"/>
      <c r="J43" s="714"/>
      <c r="K43" s="714"/>
      <c r="L43" s="714"/>
      <c r="M43" s="714"/>
      <c r="N43" s="472"/>
      <c r="O43" s="717"/>
      <c r="P43" s="717"/>
      <c r="Q43" s="717"/>
      <c r="R43" s="717"/>
      <c r="S43" s="472"/>
      <c r="T43" s="22"/>
    </row>
    <row r="44" spans="1:20" s="25" customFormat="1" ht="20.100000000000001" customHeight="1">
      <c r="A44" s="124"/>
      <c r="B44" s="720" t="s">
        <v>157</v>
      </c>
      <c r="C44" s="24"/>
      <c r="D44" s="554">
        <f>D19+D32+D42</f>
        <v>0</v>
      </c>
      <c r="E44" s="472"/>
      <c r="F44" s="554">
        <f t="shared" ref="F44:M44" si="3">F19+F32+F42</f>
        <v>0</v>
      </c>
      <c r="G44" s="554">
        <f t="shared" si="3"/>
        <v>0</v>
      </c>
      <c r="H44" s="554">
        <f t="shared" si="3"/>
        <v>0</v>
      </c>
      <c r="I44" s="554">
        <f t="shared" si="3"/>
        <v>0</v>
      </c>
      <c r="J44" s="554">
        <f t="shared" si="3"/>
        <v>0</v>
      </c>
      <c r="K44" s="554">
        <f t="shared" si="3"/>
        <v>0</v>
      </c>
      <c r="L44" s="554">
        <f t="shared" si="3"/>
        <v>0</v>
      </c>
      <c r="M44" s="554">
        <f t="shared" si="3"/>
        <v>0</v>
      </c>
      <c r="N44" s="472"/>
      <c r="O44" s="554">
        <f>O19+O32+O42</f>
        <v>0</v>
      </c>
      <c r="P44" s="554">
        <f>P19+P32+P42</f>
        <v>0</v>
      </c>
      <c r="Q44" s="554">
        <f>Q19+Q32+Q42</f>
        <v>0</v>
      </c>
      <c r="R44" s="554">
        <f>R19+R32+R42</f>
        <v>0</v>
      </c>
      <c r="S44" s="126"/>
      <c r="T44" s="143"/>
    </row>
    <row r="45" spans="1:20" s="25" customFormat="1" ht="15">
      <c r="A45" s="124"/>
      <c r="B45" s="145"/>
      <c r="C45" s="145"/>
      <c r="D45" s="146"/>
      <c r="E45" s="147"/>
      <c r="F45" s="147"/>
      <c r="G45" s="147"/>
      <c r="H45" s="147"/>
      <c r="I45" s="147"/>
      <c r="J45" s="147"/>
      <c r="K45" s="147"/>
      <c r="L45" s="147"/>
      <c r="M45" s="147"/>
      <c r="N45" s="147"/>
      <c r="O45" s="147"/>
      <c r="P45" s="147"/>
      <c r="Q45" s="147"/>
      <c r="R45" s="147"/>
      <c r="S45" s="147"/>
      <c r="T45" s="146"/>
    </row>
    <row r="46" spans="1:20" s="25" customFormat="1">
      <c r="A46"/>
      <c r="B46"/>
      <c r="C46"/>
      <c r="D46"/>
      <c r="E46"/>
      <c r="F46"/>
      <c r="G46"/>
      <c r="H46"/>
      <c r="I46"/>
      <c r="J46"/>
      <c r="K46"/>
      <c r="L46"/>
      <c r="M46"/>
      <c r="N46"/>
      <c r="O46"/>
      <c r="P46"/>
      <c r="Q46"/>
      <c r="R46"/>
      <c r="S46"/>
      <c r="T46"/>
    </row>
    <row r="47" spans="1:20" s="25" customFormat="1">
      <c r="B47"/>
      <c r="C47"/>
      <c r="D47"/>
      <c r="E47"/>
      <c r="F47"/>
      <c r="G47"/>
      <c r="H47"/>
      <c r="I47"/>
      <c r="J47"/>
      <c r="K47"/>
      <c r="L47"/>
      <c r="M47"/>
      <c r="N47"/>
      <c r="O47"/>
      <c r="P47"/>
      <c r="Q47"/>
      <c r="R47"/>
      <c r="S47"/>
      <c r="T47"/>
    </row>
    <row r="48" spans="1:20" s="25" customFormat="1" ht="15" customHeight="1">
      <c r="B48"/>
      <c r="C48"/>
      <c r="D48"/>
      <c r="E48"/>
      <c r="F48"/>
      <c r="G48"/>
      <c r="H48"/>
      <c r="I48"/>
      <c r="J48"/>
      <c r="K48"/>
      <c r="L48"/>
      <c r="M48"/>
      <c r="N48"/>
      <c r="O48"/>
      <c r="P48"/>
      <c r="Q48"/>
      <c r="R48"/>
      <c r="S48"/>
      <c r="T48"/>
    </row>
    <row r="49" spans="2:20" s="25" customFormat="1" ht="15" customHeight="1">
      <c r="B49"/>
      <c r="C49"/>
      <c r="D49"/>
      <c r="E49"/>
      <c r="F49"/>
      <c r="G49"/>
      <c r="H49"/>
      <c r="I49"/>
      <c r="J49"/>
      <c r="K49"/>
      <c r="L49"/>
      <c r="M49"/>
      <c r="N49"/>
      <c r="O49"/>
      <c r="P49"/>
      <c r="Q49"/>
      <c r="R49"/>
      <c r="S49"/>
      <c r="T49"/>
    </row>
    <row r="50" spans="2:20" s="25" customFormat="1" ht="15" customHeight="1">
      <c r="B50"/>
      <c r="C50"/>
      <c r="D50"/>
      <c r="E50"/>
      <c r="F50"/>
      <c r="G50"/>
      <c r="H50"/>
      <c r="I50"/>
      <c r="J50"/>
      <c r="K50"/>
      <c r="L50"/>
      <c r="M50"/>
      <c r="N50"/>
      <c r="O50"/>
      <c r="P50"/>
      <c r="Q50"/>
      <c r="R50"/>
      <c r="S50"/>
      <c r="T50"/>
    </row>
    <row r="51" spans="2:20" s="25" customFormat="1" ht="15" customHeight="1">
      <c r="B51"/>
      <c r="C51"/>
      <c r="D51"/>
      <c r="E51"/>
      <c r="F51"/>
      <c r="G51"/>
      <c r="H51"/>
      <c r="I51"/>
      <c r="J51"/>
      <c r="K51"/>
      <c r="L51"/>
      <c r="M51"/>
      <c r="N51"/>
      <c r="O51"/>
      <c r="P51"/>
      <c r="Q51"/>
      <c r="R51"/>
      <c r="S51"/>
      <c r="T51"/>
    </row>
    <row r="52" spans="2:20" s="25" customFormat="1">
      <c r="B52"/>
      <c r="C52"/>
      <c r="D52"/>
      <c r="E52"/>
      <c r="F52"/>
      <c r="G52"/>
      <c r="H52"/>
      <c r="I52"/>
      <c r="J52"/>
      <c r="K52"/>
      <c r="L52"/>
      <c r="M52"/>
      <c r="N52"/>
      <c r="O52"/>
      <c r="P52"/>
      <c r="Q52"/>
      <c r="R52"/>
      <c r="S52"/>
      <c r="T52"/>
    </row>
    <row r="53" spans="2:20" s="25" customFormat="1">
      <c r="B53"/>
      <c r="C53"/>
      <c r="D53"/>
      <c r="E53"/>
      <c r="F53"/>
      <c r="G53"/>
      <c r="H53"/>
      <c r="I53"/>
      <c r="J53"/>
      <c r="K53"/>
      <c r="L53"/>
      <c r="M53"/>
      <c r="N53"/>
      <c r="O53"/>
      <c r="P53"/>
      <c r="Q53"/>
      <c r="R53"/>
      <c r="S53"/>
      <c r="T53"/>
    </row>
    <row r="54" spans="2:20" s="25" customFormat="1">
      <c r="B54"/>
      <c r="C54"/>
      <c r="D54"/>
      <c r="E54"/>
      <c r="F54"/>
      <c r="G54"/>
      <c r="H54"/>
      <c r="I54"/>
      <c r="J54"/>
      <c r="K54"/>
      <c r="L54"/>
      <c r="M54"/>
      <c r="N54"/>
      <c r="O54"/>
      <c r="P54"/>
      <c r="Q54"/>
      <c r="R54"/>
      <c r="S54"/>
      <c r="T54"/>
    </row>
    <row r="55" spans="2:20" s="25" customFormat="1">
      <c r="B55"/>
      <c r="C55"/>
      <c r="D55"/>
      <c r="E55"/>
      <c r="F55"/>
      <c r="G55"/>
      <c r="H55"/>
      <c r="I55"/>
      <c r="J55"/>
      <c r="K55"/>
      <c r="L55"/>
      <c r="M55"/>
      <c r="N55"/>
      <c r="O55"/>
      <c r="P55"/>
      <c r="Q55"/>
      <c r="R55"/>
      <c r="S55"/>
      <c r="T55"/>
    </row>
    <row r="56" spans="2:20" s="25" customFormat="1">
      <c r="B56"/>
      <c r="C56"/>
      <c r="D56"/>
      <c r="E56"/>
      <c r="F56"/>
      <c r="G56"/>
      <c r="H56"/>
      <c r="I56"/>
      <c r="J56"/>
      <c r="K56"/>
      <c r="L56"/>
      <c r="M56"/>
      <c r="N56"/>
      <c r="O56"/>
      <c r="P56"/>
      <c r="Q56"/>
      <c r="R56"/>
      <c r="S56"/>
      <c r="T56"/>
    </row>
    <row r="57" spans="2:20" s="25" customFormat="1">
      <c r="B57"/>
      <c r="C57"/>
      <c r="D57"/>
      <c r="E57"/>
      <c r="F57"/>
      <c r="G57"/>
      <c r="H57"/>
      <c r="I57"/>
      <c r="J57"/>
      <c r="K57"/>
      <c r="L57"/>
      <c r="M57"/>
      <c r="N57"/>
      <c r="O57"/>
      <c r="P57"/>
      <c r="Q57"/>
      <c r="R57"/>
      <c r="S57"/>
      <c r="T57"/>
    </row>
    <row r="58" spans="2:20" s="25" customFormat="1">
      <c r="B58"/>
      <c r="C58"/>
      <c r="D58"/>
      <c r="E58"/>
      <c r="F58"/>
      <c r="G58"/>
      <c r="H58"/>
      <c r="I58"/>
      <c r="J58"/>
      <c r="K58"/>
      <c r="L58"/>
      <c r="M58"/>
      <c r="N58"/>
      <c r="O58"/>
      <c r="P58"/>
      <c r="Q58"/>
      <c r="R58"/>
      <c r="S58"/>
      <c r="T58"/>
    </row>
    <row r="59" spans="2:20" s="25" customFormat="1">
      <c r="B59"/>
      <c r="C59"/>
      <c r="D59"/>
      <c r="E59"/>
      <c r="F59"/>
      <c r="G59"/>
      <c r="H59"/>
      <c r="I59"/>
      <c r="J59"/>
      <c r="K59"/>
      <c r="L59"/>
      <c r="M59"/>
      <c r="N59"/>
      <c r="O59"/>
      <c r="P59"/>
      <c r="Q59"/>
      <c r="R59"/>
      <c r="S59"/>
      <c r="T59"/>
    </row>
    <row r="60" spans="2:20" s="25" customFormat="1" ht="15" customHeight="1">
      <c r="B60"/>
      <c r="C60"/>
      <c r="D60"/>
      <c r="E60"/>
      <c r="F60"/>
      <c r="G60"/>
      <c r="H60"/>
      <c r="I60"/>
      <c r="J60"/>
      <c r="K60"/>
      <c r="L60"/>
      <c r="M60"/>
      <c r="N60"/>
      <c r="O60"/>
      <c r="P60"/>
      <c r="Q60"/>
      <c r="R60"/>
      <c r="S60"/>
      <c r="T60"/>
    </row>
    <row r="61" spans="2:20" s="25" customFormat="1">
      <c r="B61"/>
      <c r="C61"/>
      <c r="D61"/>
      <c r="E61"/>
      <c r="F61"/>
      <c r="G61"/>
      <c r="H61"/>
      <c r="I61"/>
      <c r="J61"/>
      <c r="K61"/>
      <c r="L61"/>
      <c r="M61"/>
      <c r="N61"/>
      <c r="O61"/>
      <c r="P61"/>
      <c r="Q61"/>
      <c r="R61"/>
      <c r="S61"/>
      <c r="T61"/>
    </row>
    <row r="62" spans="2:20" s="25" customFormat="1">
      <c r="B62"/>
      <c r="C62"/>
      <c r="D62"/>
      <c r="E62"/>
      <c r="F62"/>
      <c r="G62"/>
      <c r="H62"/>
      <c r="I62"/>
      <c r="J62"/>
      <c r="K62"/>
      <c r="L62"/>
      <c r="M62"/>
      <c r="N62"/>
      <c r="O62"/>
      <c r="P62"/>
      <c r="Q62"/>
      <c r="R62"/>
      <c r="S62"/>
      <c r="T62"/>
    </row>
    <row r="63" spans="2:20" s="25" customFormat="1">
      <c r="B63"/>
      <c r="C63"/>
      <c r="D63"/>
      <c r="E63"/>
      <c r="F63"/>
      <c r="G63"/>
      <c r="H63"/>
      <c r="I63"/>
      <c r="J63"/>
      <c r="K63"/>
      <c r="L63"/>
      <c r="M63"/>
      <c r="N63"/>
      <c r="O63"/>
      <c r="P63"/>
      <c r="Q63"/>
      <c r="R63"/>
      <c r="S63"/>
      <c r="T63"/>
    </row>
    <row r="64" spans="2:20" s="25" customFormat="1">
      <c r="B64"/>
      <c r="C64"/>
      <c r="D64"/>
      <c r="E64"/>
      <c r="F64"/>
      <c r="G64"/>
      <c r="H64"/>
      <c r="I64"/>
      <c r="J64"/>
      <c r="K64"/>
      <c r="L64"/>
      <c r="M64"/>
      <c r="N64"/>
      <c r="O64"/>
      <c r="P64"/>
      <c r="Q64"/>
      <c r="R64"/>
      <c r="S64"/>
      <c r="T64"/>
    </row>
    <row r="65" spans="2:20" s="25" customFormat="1">
      <c r="B65"/>
      <c r="C65"/>
      <c r="D65"/>
      <c r="E65"/>
      <c r="F65"/>
      <c r="G65"/>
      <c r="H65"/>
      <c r="I65"/>
      <c r="J65"/>
      <c r="K65"/>
      <c r="L65"/>
      <c r="M65"/>
      <c r="N65"/>
      <c r="O65"/>
      <c r="P65"/>
      <c r="Q65"/>
      <c r="R65"/>
      <c r="S65"/>
      <c r="T65"/>
    </row>
    <row r="66" spans="2:20" s="25" customFormat="1">
      <c r="B66"/>
      <c r="C66"/>
      <c r="D66"/>
      <c r="E66"/>
      <c r="F66"/>
      <c r="G66"/>
      <c r="H66"/>
      <c r="I66"/>
      <c r="J66"/>
      <c r="K66"/>
      <c r="L66"/>
      <c r="M66"/>
      <c r="N66"/>
      <c r="O66"/>
      <c r="P66"/>
      <c r="Q66"/>
      <c r="R66"/>
      <c r="S66"/>
      <c r="T66"/>
    </row>
    <row r="67" spans="2:20" s="25" customFormat="1">
      <c r="B67"/>
      <c r="C67"/>
      <c r="D67"/>
      <c r="E67"/>
      <c r="F67"/>
      <c r="G67"/>
      <c r="H67"/>
      <c r="I67"/>
      <c r="J67"/>
      <c r="K67"/>
      <c r="L67"/>
      <c r="M67"/>
      <c r="N67"/>
      <c r="O67"/>
      <c r="P67"/>
      <c r="Q67"/>
      <c r="R67"/>
      <c r="S67"/>
      <c r="T67"/>
    </row>
    <row r="68" spans="2:20" s="25" customFormat="1">
      <c r="B68"/>
      <c r="C68"/>
      <c r="D68"/>
      <c r="E68"/>
      <c r="F68"/>
      <c r="G68"/>
      <c r="H68"/>
      <c r="I68"/>
      <c r="J68"/>
      <c r="K68"/>
      <c r="L68"/>
      <c r="M68"/>
      <c r="N68"/>
      <c r="O68"/>
      <c r="P68"/>
      <c r="Q68"/>
      <c r="R68"/>
      <c r="S68"/>
      <c r="T68"/>
    </row>
    <row r="69" spans="2:20" s="25" customFormat="1">
      <c r="B69"/>
      <c r="C69"/>
      <c r="D69"/>
      <c r="E69"/>
      <c r="F69"/>
      <c r="G69"/>
      <c r="H69"/>
      <c r="I69"/>
      <c r="J69"/>
      <c r="K69"/>
      <c r="L69"/>
      <c r="M69"/>
      <c r="N69"/>
      <c r="O69"/>
      <c r="P69"/>
      <c r="Q69"/>
      <c r="R69"/>
      <c r="S69"/>
      <c r="T69"/>
    </row>
    <row r="70" spans="2:20" s="25" customFormat="1">
      <c r="B70"/>
      <c r="C70"/>
      <c r="D70"/>
      <c r="E70"/>
      <c r="F70"/>
      <c r="G70"/>
      <c r="H70"/>
      <c r="I70"/>
      <c r="J70"/>
      <c r="K70"/>
      <c r="L70"/>
      <c r="M70"/>
      <c r="N70"/>
      <c r="O70"/>
      <c r="P70"/>
      <c r="Q70"/>
      <c r="R70"/>
      <c r="S70"/>
      <c r="T70"/>
    </row>
    <row r="71" spans="2:20" s="25" customFormat="1">
      <c r="B71"/>
      <c r="C71"/>
      <c r="D71"/>
      <c r="E71"/>
      <c r="F71"/>
      <c r="G71"/>
      <c r="H71"/>
      <c r="I71"/>
      <c r="J71"/>
      <c r="K71"/>
      <c r="L71"/>
      <c r="M71"/>
      <c r="N71"/>
      <c r="O71"/>
      <c r="P71"/>
      <c r="Q71"/>
      <c r="R71"/>
      <c r="S71"/>
      <c r="T71"/>
    </row>
    <row r="72" spans="2:20" s="25" customFormat="1">
      <c r="B72"/>
      <c r="C72"/>
      <c r="D72"/>
      <c r="E72"/>
      <c r="F72"/>
      <c r="G72"/>
      <c r="H72"/>
      <c r="I72"/>
      <c r="J72"/>
      <c r="K72"/>
      <c r="L72"/>
      <c r="M72"/>
      <c r="N72"/>
      <c r="O72"/>
      <c r="P72"/>
      <c r="Q72"/>
      <c r="R72"/>
      <c r="S72"/>
      <c r="T72"/>
    </row>
    <row r="73" spans="2:20" s="25" customFormat="1">
      <c r="B73"/>
      <c r="C73"/>
      <c r="D73"/>
      <c r="E73"/>
      <c r="F73"/>
      <c r="G73"/>
      <c r="H73"/>
      <c r="I73"/>
      <c r="J73"/>
      <c r="K73"/>
      <c r="L73"/>
      <c r="M73"/>
      <c r="N73"/>
      <c r="O73"/>
      <c r="P73"/>
      <c r="Q73"/>
      <c r="R73"/>
      <c r="S73"/>
      <c r="T73"/>
    </row>
    <row r="74" spans="2:20" s="25" customFormat="1">
      <c r="B74"/>
      <c r="C74"/>
      <c r="D74"/>
      <c r="E74"/>
      <c r="F74"/>
      <c r="G74"/>
      <c r="H74"/>
      <c r="I74"/>
      <c r="J74"/>
      <c r="K74"/>
      <c r="L74"/>
      <c r="M74"/>
      <c r="N74"/>
      <c r="O74"/>
      <c r="P74"/>
      <c r="Q74"/>
      <c r="R74"/>
      <c r="S74"/>
      <c r="T74"/>
    </row>
    <row r="75" spans="2:20" s="25" customFormat="1">
      <c r="B75"/>
      <c r="C75"/>
      <c r="D75"/>
      <c r="E75"/>
      <c r="F75"/>
      <c r="G75"/>
      <c r="H75"/>
      <c r="I75"/>
      <c r="J75"/>
      <c r="K75"/>
      <c r="L75"/>
      <c r="M75"/>
      <c r="N75"/>
      <c r="O75"/>
      <c r="P75"/>
      <c r="Q75"/>
      <c r="R75"/>
      <c r="S75"/>
      <c r="T75"/>
    </row>
    <row r="76" spans="2:20" s="25" customFormat="1">
      <c r="B76"/>
      <c r="C76"/>
      <c r="D76"/>
      <c r="E76"/>
      <c r="F76"/>
      <c r="G76"/>
      <c r="H76"/>
      <c r="I76"/>
      <c r="J76"/>
      <c r="K76"/>
      <c r="L76"/>
      <c r="M76"/>
      <c r="N76"/>
      <c r="O76"/>
      <c r="P76"/>
      <c r="Q76"/>
      <c r="R76"/>
      <c r="S76"/>
      <c r="T76"/>
    </row>
    <row r="77" spans="2:20" s="25" customFormat="1">
      <c r="B77"/>
      <c r="C77"/>
      <c r="D77"/>
      <c r="E77"/>
      <c r="F77"/>
      <c r="G77"/>
      <c r="H77"/>
      <c r="I77"/>
      <c r="J77"/>
      <c r="K77"/>
      <c r="L77"/>
      <c r="M77"/>
      <c r="N77"/>
      <c r="O77"/>
      <c r="P77"/>
      <c r="Q77"/>
      <c r="R77"/>
      <c r="S77"/>
      <c r="T77"/>
    </row>
    <row r="78" spans="2:20" s="25" customFormat="1">
      <c r="B78"/>
      <c r="C78"/>
      <c r="D78"/>
      <c r="E78"/>
      <c r="F78"/>
      <c r="G78"/>
      <c r="H78"/>
      <c r="I78"/>
      <c r="J78"/>
      <c r="K78"/>
      <c r="L78"/>
      <c r="M78"/>
      <c r="N78"/>
      <c r="O78"/>
      <c r="P78"/>
      <c r="Q78"/>
      <c r="R78"/>
      <c r="S78"/>
      <c r="T78"/>
    </row>
    <row r="79" spans="2:20" s="25" customFormat="1" ht="15">
      <c r="B79" s="21"/>
      <c r="C79" s="21"/>
      <c r="D79" s="21"/>
      <c r="T79" s="22"/>
    </row>
    <row r="80" spans="2:20" s="25" customFormat="1">
      <c r="T80"/>
    </row>
  </sheetData>
  <sheetProtection algorithmName="SHA-512" hashValue="8fsuvhwAXHml4VZvLnyjZAbRiNdC+YMS+qIUyosTlCtu2YrdH3m684/JNdcN8UqQ8zHgiepKcmMUflrVG366Bg==" saltValue="cvsUxbVasu/uXWXuY6AmTA==" spinCount="100000" sheet="1" objects="1" scenarios="1"/>
  <mergeCells count="5">
    <mergeCell ref="O8:R8"/>
    <mergeCell ref="F8:M8"/>
    <mergeCell ref="B11:B12"/>
    <mergeCell ref="B22:B23"/>
    <mergeCell ref="B35:B36"/>
  </mergeCells>
  <conditionalFormatting sqref="B2:T2">
    <cfRule type="expression" dxfId="55" priority="8">
      <formula>$B$2=Mssg1</formula>
    </cfRule>
  </conditionalFormatting>
  <conditionalFormatting sqref="B3:T3">
    <cfRule type="expression" dxfId="54" priority="1">
      <formula>$B$3=Mssg2</formula>
    </cfRule>
  </conditionalFormatting>
  <printOptions horizontalCentered="1"/>
  <pageMargins left="0.49" right="0.45" top="0.31" bottom="0.28000000000000003" header="0.3" footer="0.3"/>
  <pageSetup paperSize="5" scale="50" fitToHeight="2" orientation="landscape" r:id="rId1"/>
  <headerFooter>
    <oddFooter>&amp;CPage &amp;P of &amp;N&amp;R&amp;F</oddFooter>
  </headerFooter>
  <rowBreaks count="1" manualBreakCount="1">
    <brk id="45" min="1" max="19"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3366"/>
  </sheetPr>
  <dimension ref="A1:AB207"/>
  <sheetViews>
    <sheetView view="pageBreakPreview" zoomScale="70" zoomScaleNormal="70" zoomScaleSheetLayoutView="70" workbookViewId="0">
      <pane xSplit="8" ySplit="13" topLeftCell="I14" activePane="bottomRight" state="frozen"/>
      <selection activeCell="J16" sqref="J16"/>
      <selection pane="topRight" activeCell="J16" sqref="J16"/>
      <selection pane="bottomLeft" activeCell="J16" sqref="J16"/>
      <selection pane="bottomRight" activeCell="I21" sqref="I21"/>
    </sheetView>
  </sheetViews>
  <sheetFormatPr defaultRowHeight="12.75"/>
  <cols>
    <col min="1" max="1" width="4.28515625" style="425" hidden="1" customWidth="1"/>
    <col min="2" max="4" width="2.28515625" customWidth="1"/>
    <col min="5" max="5" width="44.28515625" customWidth="1"/>
    <col min="6" max="6" width="2.140625" customWidth="1"/>
    <col min="7" max="7" width="11.85546875" customWidth="1"/>
    <col min="8" max="8" width="2.7109375" customWidth="1"/>
    <col min="9" max="9" width="16.140625" customWidth="1"/>
    <col min="10" max="21" width="12.7109375" customWidth="1"/>
    <col min="22" max="23" width="13.140625" bestFit="1" customWidth="1"/>
    <col min="24" max="26" width="12.7109375" customWidth="1"/>
    <col min="27" max="27" width="51.28515625" customWidth="1"/>
  </cols>
  <sheetData>
    <row r="1" spans="1:28" ht="13.5" hidden="1" thickBot="1">
      <c r="A1" s="435">
        <v>1</v>
      </c>
      <c r="B1" s="221"/>
      <c r="C1" s="221"/>
      <c r="D1" s="221"/>
      <c r="E1" s="224"/>
      <c r="F1" s="224"/>
      <c r="G1" s="223"/>
      <c r="H1" s="222"/>
      <c r="I1" s="222">
        <v>1</v>
      </c>
      <c r="J1" s="222">
        <f>I1+1</f>
        <v>2</v>
      </c>
      <c r="K1" s="222">
        <f t="shared" ref="K1:AA1" si="0">J1+1</f>
        <v>3</v>
      </c>
      <c r="L1" s="222">
        <f t="shared" si="0"/>
        <v>4</v>
      </c>
      <c r="M1" s="222">
        <f t="shared" si="0"/>
        <v>5</v>
      </c>
      <c r="N1" s="222">
        <f t="shared" si="0"/>
        <v>6</v>
      </c>
      <c r="O1" s="222">
        <f t="shared" si="0"/>
        <v>7</v>
      </c>
      <c r="P1" s="222">
        <f t="shared" si="0"/>
        <v>8</v>
      </c>
      <c r="Q1" s="222">
        <f t="shared" si="0"/>
        <v>9</v>
      </c>
      <c r="R1" s="222">
        <f t="shared" si="0"/>
        <v>10</v>
      </c>
      <c r="S1" s="222">
        <f t="shared" si="0"/>
        <v>11</v>
      </c>
      <c r="T1" s="222">
        <f t="shared" si="0"/>
        <v>12</v>
      </c>
      <c r="U1" s="222">
        <f t="shared" si="0"/>
        <v>13</v>
      </c>
      <c r="V1" s="222">
        <f t="shared" si="0"/>
        <v>14</v>
      </c>
      <c r="W1" s="222">
        <f t="shared" si="0"/>
        <v>15</v>
      </c>
      <c r="X1" s="222">
        <f t="shared" si="0"/>
        <v>16</v>
      </c>
      <c r="Y1" s="222">
        <f t="shared" si="0"/>
        <v>17</v>
      </c>
      <c r="Z1" s="222">
        <f t="shared" si="0"/>
        <v>18</v>
      </c>
      <c r="AA1" s="222">
        <f t="shared" si="0"/>
        <v>19</v>
      </c>
    </row>
    <row r="2" spans="1:28" ht="19.5" customHeight="1" thickTop="1">
      <c r="A2" s="435">
        <f>A1+1</f>
        <v>2</v>
      </c>
      <c r="B2" s="589"/>
      <c r="C2" s="590"/>
      <c r="D2" s="590"/>
      <c r="E2" s="590"/>
      <c r="F2" s="590"/>
      <c r="G2" s="590"/>
      <c r="H2" s="591"/>
      <c r="I2" s="590" t="str">
        <f>IF(School="",Mssg1,School)</f>
        <v>Please enter school name on tab - "1) Name of School"</v>
      </c>
      <c r="J2" s="590"/>
      <c r="K2" s="590"/>
      <c r="L2" s="590"/>
      <c r="M2" s="590"/>
      <c r="N2" s="590"/>
      <c r="O2" s="590"/>
      <c r="P2" s="590"/>
      <c r="Q2" s="590"/>
      <c r="R2" s="590"/>
      <c r="S2" s="590"/>
      <c r="T2" s="590"/>
      <c r="U2" s="592"/>
      <c r="V2" s="225" t="str">
        <f>I2</f>
        <v>Please enter school name on tab - "1) Name of School"</v>
      </c>
      <c r="W2" s="226"/>
      <c r="X2" s="226"/>
      <c r="Y2" s="226"/>
      <c r="Z2" s="227"/>
      <c r="AA2" s="593"/>
      <c r="AB2" s="587"/>
    </row>
    <row r="3" spans="1:28" ht="18.75">
      <c r="A3" s="435">
        <f t="shared" ref="A3:A67" si="1">A2+1</f>
        <v>3</v>
      </c>
      <c r="B3" s="586"/>
      <c r="C3" s="218"/>
      <c r="D3" s="218"/>
      <c r="E3" s="218"/>
      <c r="F3" s="218"/>
      <c r="G3" s="218"/>
      <c r="H3" s="455"/>
      <c r="I3" s="218" t="s">
        <v>227</v>
      </c>
      <c r="J3" s="218"/>
      <c r="K3" s="218"/>
      <c r="L3" s="218"/>
      <c r="M3" s="218"/>
      <c r="N3" s="218"/>
      <c r="O3" s="218"/>
      <c r="P3" s="218"/>
      <c r="Q3" s="218"/>
      <c r="R3" s="218"/>
      <c r="S3" s="218"/>
      <c r="T3" s="218"/>
      <c r="U3" s="217"/>
      <c r="V3" s="981" t="s">
        <v>227</v>
      </c>
      <c r="W3" s="982"/>
      <c r="X3" s="982"/>
      <c r="Y3" s="982"/>
      <c r="Z3" s="983"/>
      <c r="AA3" s="588"/>
      <c r="AB3" s="587"/>
    </row>
    <row r="4" spans="1:28" ht="18.75">
      <c r="A4" s="435">
        <f t="shared" si="1"/>
        <v>4</v>
      </c>
      <c r="B4" s="586"/>
      <c r="C4" s="218"/>
      <c r="D4" s="218"/>
      <c r="E4" s="218"/>
      <c r="F4" s="218"/>
      <c r="G4" s="218"/>
      <c r="H4" s="455"/>
      <c r="I4" s="218" t="str">
        <f>IF(CONTROL!J12=0,Mssg2,AcadYr1)</f>
        <v>2024-25</v>
      </c>
      <c r="J4" s="218"/>
      <c r="K4" s="218"/>
      <c r="L4" s="218"/>
      <c r="M4" s="218"/>
      <c r="N4" s="218"/>
      <c r="O4" s="218"/>
      <c r="P4" s="218"/>
      <c r="Q4" s="218"/>
      <c r="R4" s="218"/>
      <c r="S4" s="218"/>
      <c r="T4" s="218"/>
      <c r="U4" s="217"/>
      <c r="V4" s="469" t="str">
        <f>IF(I4=Mssg2,"",I4)</f>
        <v>2024-25</v>
      </c>
      <c r="W4" s="159"/>
      <c r="X4" s="159"/>
      <c r="Y4" s="159"/>
      <c r="Z4" s="470"/>
      <c r="AA4" s="471"/>
      <c r="AB4" s="587"/>
    </row>
    <row r="5" spans="1:28" ht="15">
      <c r="A5" s="435">
        <f t="shared" si="1"/>
        <v>5</v>
      </c>
      <c r="B5" s="594"/>
      <c r="C5" s="59"/>
      <c r="D5" s="59"/>
      <c r="E5" s="58"/>
      <c r="F5" s="58"/>
      <c r="G5" s="52"/>
      <c r="H5" s="456"/>
      <c r="I5" s="214"/>
      <c r="J5" s="213"/>
      <c r="K5" s="213"/>
      <c r="L5" s="213"/>
      <c r="M5" s="213"/>
      <c r="N5" s="213"/>
      <c r="O5" s="213"/>
      <c r="P5" s="213"/>
      <c r="Q5" s="213"/>
      <c r="R5" s="213"/>
      <c r="S5" s="214"/>
      <c r="T5" s="214"/>
      <c r="U5" s="212"/>
      <c r="V5" s="581"/>
      <c r="W5" s="279"/>
      <c r="X5" s="279"/>
      <c r="Y5" s="59"/>
      <c r="Z5" s="582"/>
      <c r="AA5" s="211"/>
      <c r="AB5" s="587"/>
    </row>
    <row r="6" spans="1:28" ht="15">
      <c r="A6" s="435">
        <f t="shared" si="1"/>
        <v>6</v>
      </c>
      <c r="B6" s="538" t="s">
        <v>23</v>
      </c>
      <c r="C6" s="524"/>
      <c r="D6" s="524"/>
      <c r="E6" s="525"/>
      <c r="F6" s="525"/>
      <c r="G6" s="526"/>
      <c r="H6" s="595"/>
      <c r="I6" s="527">
        <f>I66</f>
        <v>0</v>
      </c>
      <c r="J6" s="528">
        <f>J66</f>
        <v>0</v>
      </c>
      <c r="K6" s="527">
        <f>IF(K$18+K$35&lt;&gt;0,K66,0)</f>
        <v>0</v>
      </c>
      <c r="L6" s="596">
        <f>IF(K$18+K$35&lt;&gt;0,L66,0)</f>
        <v>0</v>
      </c>
      <c r="M6" s="528">
        <f>M66</f>
        <v>0</v>
      </c>
      <c r="N6" s="527">
        <f>IF(N$18+N$35&lt;&gt;0,N66,0)</f>
        <v>0</v>
      </c>
      <c r="O6" s="596">
        <f>IF(N$18+N$35&lt;&gt;0,O66,0)</f>
        <v>0</v>
      </c>
      <c r="P6" s="528">
        <f>P66</f>
        <v>0</v>
      </c>
      <c r="Q6" s="527">
        <f>IF(Q$18+Q$35&lt;&gt;0,Q66,0)</f>
        <v>0</v>
      </c>
      <c r="R6" s="596">
        <f>IF(Q$18+Q$35&lt;&gt;0,R66,0)</f>
        <v>0</v>
      </c>
      <c r="S6" s="528">
        <f>S66</f>
        <v>0</v>
      </c>
      <c r="T6" s="527">
        <f>IF(T$18+T$35&lt;&gt;0,T66,0)</f>
        <v>0</v>
      </c>
      <c r="U6" s="597">
        <f>IF(T$18+T$35&lt;&gt;0,U66,0)</f>
        <v>0</v>
      </c>
      <c r="V6" s="527">
        <f>V66</f>
        <v>0</v>
      </c>
      <c r="W6" s="527">
        <f>W66</f>
        <v>0</v>
      </c>
      <c r="X6" s="596">
        <f>X66</f>
        <v>0</v>
      </c>
      <c r="Y6" s="528">
        <f>Y66</f>
        <v>0</v>
      </c>
      <c r="Z6" s="534">
        <f>Z66</f>
        <v>0</v>
      </c>
      <c r="AA6" s="210"/>
      <c r="AB6" s="587"/>
    </row>
    <row r="7" spans="1:28" ht="18.75">
      <c r="A7" s="435">
        <f t="shared" si="1"/>
        <v>7</v>
      </c>
      <c r="B7" s="51" t="s">
        <v>0</v>
      </c>
      <c r="C7" s="518"/>
      <c r="D7" s="26"/>
      <c r="E7" s="1"/>
      <c r="F7" s="1"/>
      <c r="G7" s="49"/>
      <c r="H7" s="206"/>
      <c r="I7" s="55">
        <f>I157</f>
        <v>0</v>
      </c>
      <c r="J7" s="209">
        <f>J157</f>
        <v>0</v>
      </c>
      <c r="K7" s="55">
        <f>IF(K$18+K$35&lt;&gt;0,K157,0)</f>
        <v>0</v>
      </c>
      <c r="L7" s="208">
        <f>IF(K$18+K$35&lt;&gt;0,L157,0)</f>
        <v>0</v>
      </c>
      <c r="M7" s="209">
        <f>M157</f>
        <v>0</v>
      </c>
      <c r="N7" s="55">
        <f>IF(N$18+N$35&lt;&gt;0,N157,0)</f>
        <v>0</v>
      </c>
      <c r="O7" s="208">
        <f>IF(N$18+N$35&lt;&gt;0,O157,0)</f>
        <v>0</v>
      </c>
      <c r="P7" s="209">
        <f>P157</f>
        <v>0</v>
      </c>
      <c r="Q7" s="55">
        <f>IF(Q$18+Q$35&lt;&gt;0,Q157,0)</f>
        <v>0</v>
      </c>
      <c r="R7" s="208">
        <f>IF(Q$18+Q$35&lt;&gt;0,R157,0)</f>
        <v>0</v>
      </c>
      <c r="S7" s="209">
        <f>S157</f>
        <v>0</v>
      </c>
      <c r="T7" s="55">
        <f>IF(T$18+T$35&lt;&gt;0,T157,0)</f>
        <v>0</v>
      </c>
      <c r="U7" s="207">
        <f>IF(T$18+T$35&lt;&gt;0,U157,0)</f>
        <v>0</v>
      </c>
      <c r="V7" s="55">
        <f>V157</f>
        <v>0</v>
      </c>
      <c r="W7" s="55">
        <f>W157</f>
        <v>0</v>
      </c>
      <c r="X7" s="208">
        <f>X157</f>
        <v>0</v>
      </c>
      <c r="Y7" s="209">
        <f>Y157</f>
        <v>0</v>
      </c>
      <c r="Z7" s="321">
        <f>Z157</f>
        <v>0</v>
      </c>
      <c r="AA7" s="210"/>
    </row>
    <row r="8" spans="1:28" ht="15">
      <c r="A8" s="435">
        <f t="shared" si="1"/>
        <v>8</v>
      </c>
      <c r="B8" s="51" t="s">
        <v>22</v>
      </c>
      <c r="C8" s="26"/>
      <c r="D8" s="26"/>
      <c r="E8" s="1"/>
      <c r="F8" s="1"/>
      <c r="G8" s="49"/>
      <c r="H8" s="206"/>
      <c r="I8" s="55">
        <f>I6-I7</f>
        <v>0</v>
      </c>
      <c r="J8" s="209">
        <f>J159</f>
        <v>0</v>
      </c>
      <c r="K8" s="55">
        <f>IF(K$18+K$35&lt;&gt;0,K159,0)</f>
        <v>0</v>
      </c>
      <c r="L8" s="206">
        <f>IF(K$18+K$35&lt;&gt;0,L159,0)</f>
        <v>0</v>
      </c>
      <c r="M8" s="209">
        <f>M159</f>
        <v>0</v>
      </c>
      <c r="N8" s="55">
        <f>IF(N$18+N$35&lt;&gt;0,N159,0)</f>
        <v>0</v>
      </c>
      <c r="O8" s="206">
        <f>IF(N$18+N$35&lt;&gt;0,O159,0)</f>
        <v>0</v>
      </c>
      <c r="P8" s="209">
        <f>P159</f>
        <v>0</v>
      </c>
      <c r="Q8" s="55">
        <f>IF(Q$18+Q$35&lt;&gt;0,Q159,0)</f>
        <v>0</v>
      </c>
      <c r="R8" s="206">
        <f>IF(Q$18+Q$35&lt;&gt;0,R159,0)</f>
        <v>0</v>
      </c>
      <c r="S8" s="209">
        <f>S159</f>
        <v>0</v>
      </c>
      <c r="T8" s="55">
        <f>IF(T$18+T$35&lt;&gt;0,T159,0)</f>
        <v>0</v>
      </c>
      <c r="U8" s="56">
        <f>IF(T$18+T$35&lt;&gt;0,U159,0)</f>
        <v>0</v>
      </c>
      <c r="V8" s="55">
        <f>V159</f>
        <v>0</v>
      </c>
      <c r="W8" s="55">
        <f>W159</f>
        <v>0</v>
      </c>
      <c r="X8" s="206">
        <f>X159</f>
        <v>0</v>
      </c>
      <c r="Y8" s="209">
        <f>Y159</f>
        <v>0</v>
      </c>
      <c r="Z8" s="321">
        <f>Z159</f>
        <v>0</v>
      </c>
      <c r="AA8" s="210"/>
    </row>
    <row r="9" spans="1:28" ht="15">
      <c r="A9" s="435">
        <f t="shared" si="1"/>
        <v>9</v>
      </c>
      <c r="B9" s="51" t="s">
        <v>228</v>
      </c>
      <c r="C9" s="26"/>
      <c r="D9" s="26"/>
      <c r="E9" s="1"/>
      <c r="F9" s="1"/>
      <c r="G9" s="49"/>
      <c r="H9" s="206"/>
      <c r="I9" s="55">
        <f>I179</f>
        <v>0</v>
      </c>
      <c r="J9" s="209">
        <f>J179</f>
        <v>0</v>
      </c>
      <c r="K9" s="55">
        <f>IF(K$163&lt;&gt;0,K179,0)</f>
        <v>0</v>
      </c>
      <c r="L9" s="208">
        <f>IF(K$163&lt;&gt;0,K179-J9,0)</f>
        <v>0</v>
      </c>
      <c r="M9" s="209">
        <f>M179</f>
        <v>0</v>
      </c>
      <c r="N9" s="55">
        <f>IF(N$163&lt;&gt;0,N179,0)</f>
        <v>0</v>
      </c>
      <c r="O9" s="208">
        <f>IF(N$163&lt;&gt;0,N179-M9,0)</f>
        <v>0</v>
      </c>
      <c r="P9" s="209">
        <f>P179</f>
        <v>0</v>
      </c>
      <c r="Q9" s="55">
        <f>IF(Q$163&lt;&gt;0,Q179,0)</f>
        <v>0</v>
      </c>
      <c r="R9" s="208">
        <f>IF(Q$163&lt;&gt;0,Q179-P9,0)</f>
        <v>0</v>
      </c>
      <c r="S9" s="209">
        <f>S179</f>
        <v>0</v>
      </c>
      <c r="T9" s="55">
        <f>IF(T$163&lt;&gt;0,T179,0)</f>
        <v>0</v>
      </c>
      <c r="U9" s="207">
        <f>IF(T$163&lt;&gt;0,T179-S9,0)</f>
        <v>0</v>
      </c>
      <c r="V9" s="55"/>
      <c r="W9" s="55"/>
      <c r="X9" s="205"/>
      <c r="Y9" s="204"/>
      <c r="Z9" s="321"/>
      <c r="AA9" s="210"/>
    </row>
    <row r="10" spans="1:28" ht="15" hidden="1">
      <c r="A10" s="435">
        <f t="shared" si="1"/>
        <v>10</v>
      </c>
      <c r="B10" s="57" t="s">
        <v>229</v>
      </c>
      <c r="C10" s="58"/>
      <c r="D10" s="58"/>
      <c r="E10" s="59"/>
      <c r="F10" s="59"/>
      <c r="G10" s="60"/>
      <c r="H10" s="201"/>
      <c r="I10" s="500">
        <v>0</v>
      </c>
      <c r="J10" s="203">
        <v>0</v>
      </c>
      <c r="K10" s="202">
        <v>0</v>
      </c>
      <c r="L10" s="201">
        <f>IF(K163&gt;0,K10-J10,0)</f>
        <v>0</v>
      </c>
      <c r="M10" s="203">
        <v>0</v>
      </c>
      <c r="N10" s="202">
        <v>0</v>
      </c>
      <c r="O10" s="201">
        <f>IF(N163&gt;0,N10-M10,0)</f>
        <v>0</v>
      </c>
      <c r="P10" s="203">
        <v>0</v>
      </c>
      <c r="Q10" s="202">
        <v>0</v>
      </c>
      <c r="R10" s="201">
        <f>IF(Q163&gt;0,Q10-P10,0)</f>
        <v>0</v>
      </c>
      <c r="S10" s="203">
        <v>0</v>
      </c>
      <c r="T10" s="202">
        <v>0</v>
      </c>
      <c r="U10" s="64">
        <f>IF(T163&gt;0,T10-S10,0)</f>
        <v>0</v>
      </c>
      <c r="V10" s="62"/>
      <c r="W10" s="62"/>
      <c r="X10" s="201"/>
      <c r="Y10" s="228"/>
      <c r="Z10" s="328"/>
      <c r="AA10" s="210"/>
    </row>
    <row r="11" spans="1:28" ht="15">
      <c r="A11" s="435">
        <f t="shared" si="1"/>
        <v>11</v>
      </c>
      <c r="B11" s="65"/>
      <c r="C11" s="1"/>
      <c r="D11" s="1"/>
      <c r="E11" s="1"/>
      <c r="F11" s="1"/>
      <c r="G11" s="49"/>
      <c r="H11" s="457"/>
      <c r="I11" s="39"/>
      <c r="J11" s="39"/>
      <c r="K11" s="39"/>
      <c r="L11" s="39"/>
      <c r="M11" s="39"/>
      <c r="N11" s="39"/>
      <c r="O11" s="39"/>
      <c r="P11" s="39"/>
      <c r="Q11" s="39"/>
      <c r="R11" s="39"/>
      <c r="S11" s="39"/>
      <c r="T11" s="39"/>
      <c r="U11" s="66"/>
      <c r="V11" s="278"/>
      <c r="W11" s="278"/>
      <c r="X11" s="278"/>
      <c r="Y11" s="278"/>
      <c r="Z11" s="278"/>
      <c r="AA11" s="211"/>
    </row>
    <row r="12" spans="1:28" ht="15" customHeight="1">
      <c r="A12" s="435">
        <f t="shared" si="1"/>
        <v>12</v>
      </c>
      <c r="B12" s="992"/>
      <c r="C12" s="993"/>
      <c r="D12" s="993"/>
      <c r="E12" s="993"/>
      <c r="F12" s="575"/>
      <c r="G12" s="996"/>
      <c r="H12" s="998"/>
      <c r="I12" s="527" t="s">
        <v>230</v>
      </c>
      <c r="J12" s="985" t="s">
        <v>231</v>
      </c>
      <c r="K12" s="986"/>
      <c r="L12" s="986"/>
      <c r="M12" s="985" t="s">
        <v>232</v>
      </c>
      <c r="N12" s="986"/>
      <c r="O12" s="1000"/>
      <c r="P12" s="985" t="s">
        <v>233</v>
      </c>
      <c r="Q12" s="986"/>
      <c r="R12" s="1000"/>
      <c r="S12" s="985" t="s">
        <v>234</v>
      </c>
      <c r="T12" s="986"/>
      <c r="U12" s="987"/>
      <c r="V12" s="988" t="s">
        <v>235</v>
      </c>
      <c r="W12" s="989"/>
      <c r="X12" s="990"/>
      <c r="Y12" s="989" t="s">
        <v>236</v>
      </c>
      <c r="Z12" s="991"/>
      <c r="AA12" s="211"/>
    </row>
    <row r="13" spans="1:28" ht="49.5" customHeight="1">
      <c r="A13" s="435">
        <f t="shared" si="1"/>
        <v>13</v>
      </c>
      <c r="B13" s="994"/>
      <c r="C13" s="995"/>
      <c r="D13" s="995"/>
      <c r="E13" s="995"/>
      <c r="F13" s="576"/>
      <c r="G13" s="997"/>
      <c r="H13" s="999"/>
      <c r="I13" s="230" t="str">
        <f>PriorPeriod&amp;" Revenue Per Pupil"</f>
        <v>2023-24 Revenue Per Pupil</v>
      </c>
      <c r="J13" s="229" t="s">
        <v>288</v>
      </c>
      <c r="K13" s="230" t="s">
        <v>289</v>
      </c>
      <c r="L13" s="230" t="s">
        <v>237</v>
      </c>
      <c r="M13" s="229" t="s">
        <v>288</v>
      </c>
      <c r="N13" s="230" t="s">
        <v>289</v>
      </c>
      <c r="O13" s="231" t="s">
        <v>237</v>
      </c>
      <c r="P13" s="229" t="s">
        <v>288</v>
      </c>
      <c r="Q13" s="230" t="s">
        <v>289</v>
      </c>
      <c r="R13" s="231" t="s">
        <v>237</v>
      </c>
      <c r="S13" s="229" t="s">
        <v>288</v>
      </c>
      <c r="T13" s="230" t="s">
        <v>289</v>
      </c>
      <c r="U13" s="232" t="s">
        <v>237</v>
      </c>
      <c r="V13" s="229" t="s">
        <v>288</v>
      </c>
      <c r="W13" s="230" t="s">
        <v>289</v>
      </c>
      <c r="X13" s="231" t="s">
        <v>237</v>
      </c>
      <c r="Y13" s="497" t="s">
        <v>290</v>
      </c>
      <c r="Z13" s="498" t="s">
        <v>291</v>
      </c>
      <c r="AA13" s="216" t="s">
        <v>97</v>
      </c>
    </row>
    <row r="14" spans="1:28" ht="15">
      <c r="A14" s="435">
        <f t="shared" si="1"/>
        <v>14</v>
      </c>
      <c r="B14" s="598"/>
      <c r="C14" s="525"/>
      <c r="D14" s="525"/>
      <c r="E14" s="599"/>
      <c r="F14" s="599"/>
      <c r="G14" s="600"/>
      <c r="H14" s="601"/>
      <c r="I14" s="1001" t="s">
        <v>526</v>
      </c>
      <c r="J14" s="1004" t="s">
        <v>514</v>
      </c>
      <c r="K14" s="1004"/>
      <c r="L14" s="1004"/>
      <c r="M14" s="1004"/>
      <c r="N14" s="1004"/>
      <c r="O14" s="1004"/>
      <c r="P14" s="1004"/>
      <c r="Q14" s="1004"/>
      <c r="R14" s="1004"/>
      <c r="S14" s="1004"/>
      <c r="T14" s="1004"/>
      <c r="U14" s="1005"/>
      <c r="V14" s="584"/>
      <c r="W14" s="583"/>
      <c r="X14" s="583"/>
      <c r="Y14" s="583"/>
      <c r="Z14" s="602"/>
      <c r="AA14" s="234"/>
    </row>
    <row r="15" spans="1:28" ht="15" customHeight="1">
      <c r="A15" s="435">
        <f t="shared" si="1"/>
        <v>15</v>
      </c>
      <c r="B15" s="74" t="s">
        <v>24</v>
      </c>
      <c r="C15" s="75"/>
      <c r="D15" s="75"/>
      <c r="E15" s="53"/>
      <c r="F15" s="53"/>
      <c r="G15" s="48"/>
      <c r="H15" s="205"/>
      <c r="I15" s="1002"/>
      <c r="J15" s="1006"/>
      <c r="K15" s="1006"/>
      <c r="L15" s="1006"/>
      <c r="M15" s="1006"/>
      <c r="N15" s="1006"/>
      <c r="O15" s="1006"/>
      <c r="P15" s="1006"/>
      <c r="Q15" s="1006"/>
      <c r="R15" s="1006"/>
      <c r="S15" s="1006"/>
      <c r="T15" s="1006"/>
      <c r="U15" s="1007"/>
      <c r="V15" s="330"/>
      <c r="W15" s="235"/>
      <c r="X15" s="235"/>
      <c r="Y15" s="235"/>
      <c r="Z15" s="236"/>
      <c r="AA15" s="237"/>
    </row>
    <row r="16" spans="1:28" ht="19.5" customHeight="1">
      <c r="A16" s="435">
        <f t="shared" si="1"/>
        <v>16</v>
      </c>
      <c r="B16" s="74"/>
      <c r="C16" s="75" t="s">
        <v>25</v>
      </c>
      <c r="D16" s="75"/>
      <c r="E16" s="53"/>
      <c r="F16" s="53"/>
      <c r="G16" s="494" t="str">
        <f>PPR_Tbl_Date</f>
        <v>2024-25</v>
      </c>
      <c r="H16" s="205"/>
      <c r="I16" s="1003"/>
      <c r="J16" s="1008"/>
      <c r="K16" s="1008"/>
      <c r="L16" s="1008"/>
      <c r="M16" s="1008"/>
      <c r="N16" s="1008"/>
      <c r="O16" s="1008"/>
      <c r="P16" s="1008"/>
      <c r="Q16" s="1008"/>
      <c r="R16" s="1008"/>
      <c r="S16" s="1008"/>
      <c r="T16" s="1008"/>
      <c r="U16" s="1009"/>
      <c r="V16" s="330"/>
      <c r="W16" s="235"/>
      <c r="X16" s="235"/>
      <c r="Y16" s="235"/>
      <c r="Z16" s="236"/>
      <c r="AA16" s="237"/>
    </row>
    <row r="17" spans="1:27" ht="15">
      <c r="A17" s="435">
        <f t="shared" si="1"/>
        <v>17</v>
      </c>
      <c r="B17" s="77"/>
      <c r="C17" s="41"/>
      <c r="D17" s="75" t="s">
        <v>21</v>
      </c>
      <c r="E17" s="53"/>
      <c r="F17" s="53"/>
      <c r="G17" s="880" t="s">
        <v>118</v>
      </c>
      <c r="H17" s="205"/>
      <c r="I17" s="773" t="s">
        <v>515</v>
      </c>
      <c r="J17" s="916">
        <v>0.25</v>
      </c>
      <c r="K17" s="917">
        <v>0.25</v>
      </c>
      <c r="L17" s="918"/>
      <c r="M17" s="916">
        <v>0.25</v>
      </c>
      <c r="N17" s="917">
        <v>0.25</v>
      </c>
      <c r="O17" s="919"/>
      <c r="P17" s="916">
        <v>0.25</v>
      </c>
      <c r="Q17" s="917">
        <v>0.25</v>
      </c>
      <c r="R17" s="919"/>
      <c r="S17" s="920">
        <f>1-(J17+M17+P17)</f>
        <v>0.25</v>
      </c>
      <c r="T17" s="921">
        <f>1-(K17+N17+Q17)</f>
        <v>0.25</v>
      </c>
      <c r="U17" s="922"/>
      <c r="V17" s="585"/>
      <c r="W17" s="79"/>
      <c r="X17" s="79"/>
      <c r="Y17" s="79"/>
      <c r="Z17" s="80"/>
      <c r="AA17" s="237"/>
    </row>
    <row r="18" spans="1:27" ht="15">
      <c r="A18" s="435">
        <f t="shared" si="1"/>
        <v>18</v>
      </c>
      <c r="B18" s="77"/>
      <c r="C18" s="41"/>
      <c r="D18" s="507"/>
      <c r="E18" s="281" t="str">
        <f>CONTROL!B52</f>
        <v>-</v>
      </c>
      <c r="F18" s="44"/>
      <c r="G18" s="603">
        <f>CONTROL!C52</f>
        <v>0</v>
      </c>
      <c r="H18" s="205"/>
      <c r="I18" s="774"/>
      <c r="J18" s="604">
        <f>CONTROL!$F52</f>
        <v>0</v>
      </c>
      <c r="K18" s="605">
        <f>CONTROL!L52</f>
        <v>0</v>
      </c>
      <c r="L18" s="775">
        <f t="shared" ref="L18:L33" si="2">IF(K$18&lt;&gt;0,K18-J18,0)</f>
        <v>0</v>
      </c>
      <c r="M18" s="604">
        <f>CONTROL!G52</f>
        <v>0</v>
      </c>
      <c r="N18" s="605">
        <f>CONTROL!M52</f>
        <v>0</v>
      </c>
      <c r="O18" s="775">
        <f t="shared" ref="O18:O33" si="3">IF(N$18&lt;&gt;0,N18-M18,0)</f>
        <v>0</v>
      </c>
      <c r="P18" s="604">
        <f>CONTROL!H52</f>
        <v>0</v>
      </c>
      <c r="Q18" s="605">
        <f>CONTROL!N52</f>
        <v>0</v>
      </c>
      <c r="R18" s="775">
        <f t="shared" ref="R18:R33" si="4">IF(Q$18&lt;&gt;0,Q18-P18,0)</f>
        <v>0</v>
      </c>
      <c r="S18" s="604">
        <f>CONTROL!I52</f>
        <v>0</v>
      </c>
      <c r="T18" s="605">
        <f>CONTROL!O52</f>
        <v>0</v>
      </c>
      <c r="U18" s="607">
        <f t="shared" ref="U18:U33" si="5">IF(T$18&lt;&gt;0,T18-S18,0)</f>
        <v>0</v>
      </c>
      <c r="V18" s="608">
        <f t="shared" ref="V18:V33" si="6">J18+M18+P18+S18</f>
        <v>0</v>
      </c>
      <c r="W18" s="609">
        <f t="shared" ref="W18:W33" si="7">SUM(IF(K$6&lt;&gt;0,K18,J18)+IF(N$6&lt;&gt;0,N18,M18)+IF(Q$6&lt;&gt;0,Q18,P18)+IF(T$6&lt;&gt;0,T18,S18))</f>
        <v>0</v>
      </c>
      <c r="X18" s="606">
        <f t="shared" ref="X18:X33" si="8">W18-V18</f>
        <v>0</v>
      </c>
      <c r="Y18" s="610">
        <f t="shared" ref="Y18:Y33" si="9">V18-I18</f>
        <v>0</v>
      </c>
      <c r="Z18" s="611">
        <f t="shared" ref="Z18:Z33" si="10">W18-I18</f>
        <v>0</v>
      </c>
      <c r="AA18" s="240"/>
    </row>
    <row r="19" spans="1:27" ht="15">
      <c r="A19" s="435">
        <f t="shared" si="1"/>
        <v>19</v>
      </c>
      <c r="B19" s="77"/>
      <c r="C19" s="41"/>
      <c r="D19" s="507"/>
      <c r="E19" s="281" t="str">
        <f>CONTROL!B53</f>
        <v>-</v>
      </c>
      <c r="F19" s="44"/>
      <c r="G19" s="603">
        <f>CONTROL!C53</f>
        <v>0</v>
      </c>
      <c r="H19" s="205"/>
      <c r="I19" s="571"/>
      <c r="J19" s="604">
        <f>CONTROL!$F53</f>
        <v>0</v>
      </c>
      <c r="K19" s="605">
        <f>CONTROL!L53</f>
        <v>0</v>
      </c>
      <c r="L19" s="606">
        <f t="shared" si="2"/>
        <v>0</v>
      </c>
      <c r="M19" s="604">
        <f>CONTROL!G53</f>
        <v>0</v>
      </c>
      <c r="N19" s="605">
        <f>CONTROL!M53</f>
        <v>0</v>
      </c>
      <c r="O19" s="606">
        <f t="shared" si="3"/>
        <v>0</v>
      </c>
      <c r="P19" s="604">
        <f>CONTROL!H53</f>
        <v>0</v>
      </c>
      <c r="Q19" s="605">
        <f>CONTROL!N53</f>
        <v>0</v>
      </c>
      <c r="R19" s="606">
        <f t="shared" si="4"/>
        <v>0</v>
      </c>
      <c r="S19" s="604">
        <f>CONTROL!I53</f>
        <v>0</v>
      </c>
      <c r="T19" s="605">
        <f>CONTROL!O53</f>
        <v>0</v>
      </c>
      <c r="U19" s="607">
        <f t="shared" si="5"/>
        <v>0</v>
      </c>
      <c r="V19" s="608">
        <f t="shared" si="6"/>
        <v>0</v>
      </c>
      <c r="W19" s="609">
        <f t="shared" si="7"/>
        <v>0</v>
      </c>
      <c r="X19" s="606">
        <f t="shared" si="8"/>
        <v>0</v>
      </c>
      <c r="Y19" s="610">
        <f t="shared" si="9"/>
        <v>0</v>
      </c>
      <c r="Z19" s="611">
        <f t="shared" si="10"/>
        <v>0</v>
      </c>
      <c r="AA19" s="240"/>
    </row>
    <row r="20" spans="1:27" ht="15">
      <c r="A20" s="435">
        <f t="shared" si="1"/>
        <v>20</v>
      </c>
      <c r="B20" s="77"/>
      <c r="C20" s="41"/>
      <c r="D20" s="507"/>
      <c r="E20" s="281" t="str">
        <f>CONTROL!B54</f>
        <v>-</v>
      </c>
      <c r="F20" s="44"/>
      <c r="G20" s="603">
        <f>CONTROL!C54</f>
        <v>0</v>
      </c>
      <c r="H20" s="205"/>
      <c r="I20" s="571"/>
      <c r="J20" s="604">
        <f>CONTROL!$F54</f>
        <v>0</v>
      </c>
      <c r="K20" s="605">
        <f>CONTROL!L54</f>
        <v>0</v>
      </c>
      <c r="L20" s="606">
        <f t="shared" si="2"/>
        <v>0</v>
      </c>
      <c r="M20" s="604">
        <f>CONTROL!G54</f>
        <v>0</v>
      </c>
      <c r="N20" s="605">
        <f>CONTROL!M54</f>
        <v>0</v>
      </c>
      <c r="O20" s="606">
        <f t="shared" si="3"/>
        <v>0</v>
      </c>
      <c r="P20" s="604">
        <f>CONTROL!H54</f>
        <v>0</v>
      </c>
      <c r="Q20" s="605">
        <f>CONTROL!N54</f>
        <v>0</v>
      </c>
      <c r="R20" s="606">
        <f t="shared" si="4"/>
        <v>0</v>
      </c>
      <c r="S20" s="604">
        <f>CONTROL!I54</f>
        <v>0</v>
      </c>
      <c r="T20" s="605">
        <f>CONTROL!O54</f>
        <v>0</v>
      </c>
      <c r="U20" s="607">
        <f t="shared" si="5"/>
        <v>0</v>
      </c>
      <c r="V20" s="608">
        <f t="shared" si="6"/>
        <v>0</v>
      </c>
      <c r="W20" s="609">
        <f t="shared" si="7"/>
        <v>0</v>
      </c>
      <c r="X20" s="606">
        <f t="shared" si="8"/>
        <v>0</v>
      </c>
      <c r="Y20" s="610">
        <f t="shared" si="9"/>
        <v>0</v>
      </c>
      <c r="Z20" s="611">
        <f t="shared" si="10"/>
        <v>0</v>
      </c>
      <c r="AA20" s="240"/>
    </row>
    <row r="21" spans="1:27" ht="15">
      <c r="A21" s="435">
        <f t="shared" si="1"/>
        <v>21</v>
      </c>
      <c r="B21" s="77"/>
      <c r="C21" s="41"/>
      <c r="D21" s="507"/>
      <c r="E21" s="281" t="str">
        <f>CONTROL!B55</f>
        <v>-</v>
      </c>
      <c r="F21" s="44"/>
      <c r="G21" s="603">
        <f>CONTROL!C55</f>
        <v>0</v>
      </c>
      <c r="H21" s="205"/>
      <c r="I21" s="612"/>
      <c r="J21" s="604">
        <f>CONTROL!$F55</f>
        <v>0</v>
      </c>
      <c r="K21" s="605">
        <f>CONTROL!L55</f>
        <v>0</v>
      </c>
      <c r="L21" s="606">
        <f t="shared" si="2"/>
        <v>0</v>
      </c>
      <c r="M21" s="604">
        <f>CONTROL!G55</f>
        <v>0</v>
      </c>
      <c r="N21" s="605">
        <f>CONTROL!M55</f>
        <v>0</v>
      </c>
      <c r="O21" s="606">
        <f t="shared" si="3"/>
        <v>0</v>
      </c>
      <c r="P21" s="604">
        <f>CONTROL!H55</f>
        <v>0</v>
      </c>
      <c r="Q21" s="605">
        <f>CONTROL!N55</f>
        <v>0</v>
      </c>
      <c r="R21" s="606">
        <f t="shared" si="4"/>
        <v>0</v>
      </c>
      <c r="S21" s="604">
        <f>CONTROL!I55</f>
        <v>0</v>
      </c>
      <c r="T21" s="605">
        <f>CONTROL!O55</f>
        <v>0</v>
      </c>
      <c r="U21" s="607">
        <f t="shared" si="5"/>
        <v>0</v>
      </c>
      <c r="V21" s="608">
        <f t="shared" si="6"/>
        <v>0</v>
      </c>
      <c r="W21" s="609">
        <f t="shared" si="7"/>
        <v>0</v>
      </c>
      <c r="X21" s="606">
        <f t="shared" si="8"/>
        <v>0</v>
      </c>
      <c r="Y21" s="610">
        <f t="shared" si="9"/>
        <v>0</v>
      </c>
      <c r="Z21" s="611">
        <f t="shared" si="10"/>
        <v>0</v>
      </c>
      <c r="AA21" s="240"/>
    </row>
    <row r="22" spans="1:27" ht="15">
      <c r="A22" s="435">
        <f t="shared" si="1"/>
        <v>22</v>
      </c>
      <c r="B22" s="77"/>
      <c r="C22" s="41"/>
      <c r="D22" s="507"/>
      <c r="E22" s="281" t="str">
        <f>CONTROL!B56</f>
        <v>-</v>
      </c>
      <c r="F22" s="44"/>
      <c r="G22" s="603">
        <f>CONTROL!C56</f>
        <v>0</v>
      </c>
      <c r="H22" s="205"/>
      <c r="I22" s="612"/>
      <c r="J22" s="604">
        <f>CONTROL!$F56</f>
        <v>0</v>
      </c>
      <c r="K22" s="605">
        <f>CONTROL!L56</f>
        <v>0</v>
      </c>
      <c r="L22" s="606">
        <f t="shared" si="2"/>
        <v>0</v>
      </c>
      <c r="M22" s="604">
        <f>CONTROL!G56</f>
        <v>0</v>
      </c>
      <c r="N22" s="605">
        <f>CONTROL!M56</f>
        <v>0</v>
      </c>
      <c r="O22" s="606">
        <f t="shared" si="3"/>
        <v>0</v>
      </c>
      <c r="P22" s="604">
        <f>CONTROL!H56</f>
        <v>0</v>
      </c>
      <c r="Q22" s="605">
        <f>CONTROL!N56</f>
        <v>0</v>
      </c>
      <c r="R22" s="606">
        <f t="shared" si="4"/>
        <v>0</v>
      </c>
      <c r="S22" s="604">
        <f>CONTROL!I56</f>
        <v>0</v>
      </c>
      <c r="T22" s="605">
        <f>CONTROL!O56</f>
        <v>0</v>
      </c>
      <c r="U22" s="607">
        <f t="shared" si="5"/>
        <v>0</v>
      </c>
      <c r="V22" s="608">
        <f t="shared" si="6"/>
        <v>0</v>
      </c>
      <c r="W22" s="609">
        <f t="shared" si="7"/>
        <v>0</v>
      </c>
      <c r="X22" s="606">
        <f t="shared" si="8"/>
        <v>0</v>
      </c>
      <c r="Y22" s="610">
        <f t="shared" si="9"/>
        <v>0</v>
      </c>
      <c r="Z22" s="611">
        <f t="shared" si="10"/>
        <v>0</v>
      </c>
      <c r="AA22" s="240"/>
    </row>
    <row r="23" spans="1:27" ht="15">
      <c r="A23" s="435">
        <f t="shared" si="1"/>
        <v>23</v>
      </c>
      <c r="B23" s="77"/>
      <c r="C23" s="41"/>
      <c r="D23" s="507"/>
      <c r="E23" s="281" t="str">
        <f>CONTROL!B57</f>
        <v>-</v>
      </c>
      <c r="F23" s="44"/>
      <c r="G23" s="603">
        <f>CONTROL!C57</f>
        <v>0</v>
      </c>
      <c r="H23" s="205"/>
      <c r="I23" s="612"/>
      <c r="J23" s="604">
        <f>CONTROL!$F57</f>
        <v>0</v>
      </c>
      <c r="K23" s="605">
        <f>CONTROL!L57</f>
        <v>0</v>
      </c>
      <c r="L23" s="606">
        <f t="shared" si="2"/>
        <v>0</v>
      </c>
      <c r="M23" s="604">
        <f>CONTROL!G57</f>
        <v>0</v>
      </c>
      <c r="N23" s="605">
        <f>CONTROL!M57</f>
        <v>0</v>
      </c>
      <c r="O23" s="606">
        <f t="shared" si="3"/>
        <v>0</v>
      </c>
      <c r="P23" s="604">
        <f>CONTROL!H57</f>
        <v>0</v>
      </c>
      <c r="Q23" s="605">
        <f>CONTROL!N57</f>
        <v>0</v>
      </c>
      <c r="R23" s="606">
        <f t="shared" si="4"/>
        <v>0</v>
      </c>
      <c r="S23" s="604">
        <f>CONTROL!I57</f>
        <v>0</v>
      </c>
      <c r="T23" s="605">
        <f>CONTROL!O57</f>
        <v>0</v>
      </c>
      <c r="U23" s="607">
        <f t="shared" si="5"/>
        <v>0</v>
      </c>
      <c r="V23" s="608">
        <f t="shared" si="6"/>
        <v>0</v>
      </c>
      <c r="W23" s="609">
        <f t="shared" si="7"/>
        <v>0</v>
      </c>
      <c r="X23" s="606">
        <f t="shared" si="8"/>
        <v>0</v>
      </c>
      <c r="Y23" s="610">
        <f t="shared" si="9"/>
        <v>0</v>
      </c>
      <c r="Z23" s="611">
        <f t="shared" si="10"/>
        <v>0</v>
      </c>
      <c r="AA23" s="240"/>
    </row>
    <row r="24" spans="1:27" ht="15">
      <c r="A24" s="435">
        <f t="shared" si="1"/>
        <v>24</v>
      </c>
      <c r="B24" s="77"/>
      <c r="C24" s="41"/>
      <c r="D24" s="507"/>
      <c r="E24" s="281" t="str">
        <f>CONTROL!B58</f>
        <v>-</v>
      </c>
      <c r="F24" s="44"/>
      <c r="G24" s="603">
        <f>CONTROL!C58</f>
        <v>0</v>
      </c>
      <c r="H24" s="205"/>
      <c r="I24" s="612"/>
      <c r="J24" s="604">
        <f>CONTROL!$F58</f>
        <v>0</v>
      </c>
      <c r="K24" s="605">
        <f>CONTROL!L58</f>
        <v>0</v>
      </c>
      <c r="L24" s="606">
        <f t="shared" si="2"/>
        <v>0</v>
      </c>
      <c r="M24" s="604">
        <f>CONTROL!G58</f>
        <v>0</v>
      </c>
      <c r="N24" s="605">
        <f>CONTROL!M58</f>
        <v>0</v>
      </c>
      <c r="O24" s="606">
        <f t="shared" si="3"/>
        <v>0</v>
      </c>
      <c r="P24" s="604">
        <f>CONTROL!H58</f>
        <v>0</v>
      </c>
      <c r="Q24" s="605">
        <f>CONTROL!N58</f>
        <v>0</v>
      </c>
      <c r="R24" s="606">
        <f t="shared" si="4"/>
        <v>0</v>
      </c>
      <c r="S24" s="604">
        <f>CONTROL!I58</f>
        <v>0</v>
      </c>
      <c r="T24" s="605">
        <f>CONTROL!O58</f>
        <v>0</v>
      </c>
      <c r="U24" s="607">
        <f t="shared" si="5"/>
        <v>0</v>
      </c>
      <c r="V24" s="608">
        <f t="shared" si="6"/>
        <v>0</v>
      </c>
      <c r="W24" s="609">
        <f t="shared" si="7"/>
        <v>0</v>
      </c>
      <c r="X24" s="606">
        <f t="shared" si="8"/>
        <v>0</v>
      </c>
      <c r="Y24" s="610">
        <f t="shared" si="9"/>
        <v>0</v>
      </c>
      <c r="Z24" s="611">
        <f t="shared" si="10"/>
        <v>0</v>
      </c>
      <c r="AA24" s="240"/>
    </row>
    <row r="25" spans="1:27" ht="15">
      <c r="A25" s="435">
        <f t="shared" si="1"/>
        <v>25</v>
      </c>
      <c r="B25" s="77"/>
      <c r="C25" s="41"/>
      <c r="D25" s="507"/>
      <c r="E25" s="281" t="str">
        <f>CONTROL!B59</f>
        <v>-</v>
      </c>
      <c r="F25" s="44"/>
      <c r="G25" s="603">
        <f>CONTROL!C59</f>
        <v>0</v>
      </c>
      <c r="H25" s="205"/>
      <c r="I25" s="612"/>
      <c r="J25" s="604">
        <f>CONTROL!$F59</f>
        <v>0</v>
      </c>
      <c r="K25" s="605">
        <f>CONTROL!L59</f>
        <v>0</v>
      </c>
      <c r="L25" s="606">
        <f t="shared" si="2"/>
        <v>0</v>
      </c>
      <c r="M25" s="604">
        <f>CONTROL!G59</f>
        <v>0</v>
      </c>
      <c r="N25" s="605">
        <f>CONTROL!M59</f>
        <v>0</v>
      </c>
      <c r="O25" s="606">
        <f t="shared" si="3"/>
        <v>0</v>
      </c>
      <c r="P25" s="604">
        <f>CONTROL!H59</f>
        <v>0</v>
      </c>
      <c r="Q25" s="605">
        <f>CONTROL!N59</f>
        <v>0</v>
      </c>
      <c r="R25" s="606">
        <f t="shared" si="4"/>
        <v>0</v>
      </c>
      <c r="S25" s="604">
        <f>CONTROL!I59</f>
        <v>0</v>
      </c>
      <c r="T25" s="605">
        <f>CONTROL!O59</f>
        <v>0</v>
      </c>
      <c r="U25" s="607">
        <f t="shared" si="5"/>
        <v>0</v>
      </c>
      <c r="V25" s="608">
        <f t="shared" si="6"/>
        <v>0</v>
      </c>
      <c r="W25" s="609">
        <f t="shared" si="7"/>
        <v>0</v>
      </c>
      <c r="X25" s="606">
        <f t="shared" si="8"/>
        <v>0</v>
      </c>
      <c r="Y25" s="610">
        <f t="shared" si="9"/>
        <v>0</v>
      </c>
      <c r="Z25" s="611">
        <f t="shared" si="10"/>
        <v>0</v>
      </c>
      <c r="AA25" s="240"/>
    </row>
    <row r="26" spans="1:27" ht="15">
      <c r="A26" s="435">
        <f t="shared" si="1"/>
        <v>26</v>
      </c>
      <c r="B26" s="77"/>
      <c r="C26" s="41"/>
      <c r="D26" s="507"/>
      <c r="E26" s="281" t="str">
        <f>CONTROL!B60</f>
        <v>-</v>
      </c>
      <c r="F26" s="44"/>
      <c r="G26" s="603">
        <f>CONTROL!C60</f>
        <v>0</v>
      </c>
      <c r="H26" s="205"/>
      <c r="I26" s="612"/>
      <c r="J26" s="604">
        <f>CONTROL!$F60</f>
        <v>0</v>
      </c>
      <c r="K26" s="605">
        <f>CONTROL!L60</f>
        <v>0</v>
      </c>
      <c r="L26" s="606">
        <f t="shared" si="2"/>
        <v>0</v>
      </c>
      <c r="M26" s="604">
        <f>CONTROL!G60</f>
        <v>0</v>
      </c>
      <c r="N26" s="605">
        <f>CONTROL!M60</f>
        <v>0</v>
      </c>
      <c r="O26" s="606">
        <f t="shared" si="3"/>
        <v>0</v>
      </c>
      <c r="P26" s="604">
        <f>CONTROL!H60</f>
        <v>0</v>
      </c>
      <c r="Q26" s="605">
        <f>CONTROL!N60</f>
        <v>0</v>
      </c>
      <c r="R26" s="606">
        <f t="shared" si="4"/>
        <v>0</v>
      </c>
      <c r="S26" s="604">
        <f>CONTROL!I60</f>
        <v>0</v>
      </c>
      <c r="T26" s="605">
        <f>CONTROL!O60</f>
        <v>0</v>
      </c>
      <c r="U26" s="607">
        <f t="shared" si="5"/>
        <v>0</v>
      </c>
      <c r="V26" s="608">
        <f t="shared" si="6"/>
        <v>0</v>
      </c>
      <c r="W26" s="609">
        <f t="shared" si="7"/>
        <v>0</v>
      </c>
      <c r="X26" s="606">
        <f t="shared" si="8"/>
        <v>0</v>
      </c>
      <c r="Y26" s="610">
        <f t="shared" si="9"/>
        <v>0</v>
      </c>
      <c r="Z26" s="611">
        <f t="shared" si="10"/>
        <v>0</v>
      </c>
      <c r="AA26" s="240"/>
    </row>
    <row r="27" spans="1:27" ht="15">
      <c r="A27" s="435">
        <f t="shared" si="1"/>
        <v>27</v>
      </c>
      <c r="B27" s="77"/>
      <c r="C27" s="41"/>
      <c r="D27" s="507"/>
      <c r="E27" s="281" t="str">
        <f>CONTROL!B61</f>
        <v>-</v>
      </c>
      <c r="F27" s="44"/>
      <c r="G27" s="603">
        <f>CONTROL!C61</f>
        <v>0</v>
      </c>
      <c r="H27" s="205"/>
      <c r="I27" s="612"/>
      <c r="J27" s="604">
        <f>CONTROL!$F61</f>
        <v>0</v>
      </c>
      <c r="K27" s="605">
        <f>CONTROL!L61</f>
        <v>0</v>
      </c>
      <c r="L27" s="606">
        <f t="shared" si="2"/>
        <v>0</v>
      </c>
      <c r="M27" s="604">
        <f>CONTROL!G61</f>
        <v>0</v>
      </c>
      <c r="N27" s="605">
        <f>CONTROL!M61</f>
        <v>0</v>
      </c>
      <c r="O27" s="606">
        <f t="shared" si="3"/>
        <v>0</v>
      </c>
      <c r="P27" s="604">
        <f>CONTROL!H61</f>
        <v>0</v>
      </c>
      <c r="Q27" s="605">
        <f>CONTROL!N61</f>
        <v>0</v>
      </c>
      <c r="R27" s="606">
        <f t="shared" si="4"/>
        <v>0</v>
      </c>
      <c r="S27" s="604">
        <f>CONTROL!I61</f>
        <v>0</v>
      </c>
      <c r="T27" s="605">
        <f>CONTROL!O61</f>
        <v>0</v>
      </c>
      <c r="U27" s="607">
        <f t="shared" si="5"/>
        <v>0</v>
      </c>
      <c r="V27" s="608">
        <f t="shared" si="6"/>
        <v>0</v>
      </c>
      <c r="W27" s="609">
        <f t="shared" si="7"/>
        <v>0</v>
      </c>
      <c r="X27" s="606">
        <f t="shared" si="8"/>
        <v>0</v>
      </c>
      <c r="Y27" s="610">
        <f t="shared" si="9"/>
        <v>0</v>
      </c>
      <c r="Z27" s="611">
        <f t="shared" si="10"/>
        <v>0</v>
      </c>
      <c r="AA27" s="240"/>
    </row>
    <row r="28" spans="1:27" ht="15">
      <c r="A28" s="435">
        <f t="shared" si="1"/>
        <v>28</v>
      </c>
      <c r="B28" s="77"/>
      <c r="C28" s="41"/>
      <c r="D28" s="507"/>
      <c r="E28" s="281" t="str">
        <f>CONTROL!B62</f>
        <v>-</v>
      </c>
      <c r="F28" s="44"/>
      <c r="G28" s="603">
        <f>CONTROL!C62</f>
        <v>0</v>
      </c>
      <c r="H28" s="205"/>
      <c r="I28" s="612"/>
      <c r="J28" s="604">
        <f>CONTROL!$F62</f>
        <v>0</v>
      </c>
      <c r="K28" s="605">
        <f>CONTROL!L62</f>
        <v>0</v>
      </c>
      <c r="L28" s="606">
        <f t="shared" si="2"/>
        <v>0</v>
      </c>
      <c r="M28" s="604">
        <f>CONTROL!G62</f>
        <v>0</v>
      </c>
      <c r="N28" s="605">
        <f>CONTROL!M62</f>
        <v>0</v>
      </c>
      <c r="O28" s="606">
        <f t="shared" si="3"/>
        <v>0</v>
      </c>
      <c r="P28" s="604">
        <f>CONTROL!H62</f>
        <v>0</v>
      </c>
      <c r="Q28" s="605">
        <f>CONTROL!N62</f>
        <v>0</v>
      </c>
      <c r="R28" s="606">
        <f t="shared" si="4"/>
        <v>0</v>
      </c>
      <c r="S28" s="604">
        <f>CONTROL!I62</f>
        <v>0</v>
      </c>
      <c r="T28" s="605">
        <f>CONTROL!O62</f>
        <v>0</v>
      </c>
      <c r="U28" s="607">
        <f t="shared" si="5"/>
        <v>0</v>
      </c>
      <c r="V28" s="608">
        <f t="shared" si="6"/>
        <v>0</v>
      </c>
      <c r="W28" s="609">
        <f t="shared" si="7"/>
        <v>0</v>
      </c>
      <c r="X28" s="606">
        <f t="shared" si="8"/>
        <v>0</v>
      </c>
      <c r="Y28" s="610">
        <f t="shared" si="9"/>
        <v>0</v>
      </c>
      <c r="Z28" s="611">
        <f t="shared" si="10"/>
        <v>0</v>
      </c>
      <c r="AA28" s="240"/>
    </row>
    <row r="29" spans="1:27" ht="15">
      <c r="A29" s="435">
        <f t="shared" si="1"/>
        <v>29</v>
      </c>
      <c r="B29" s="77"/>
      <c r="C29" s="41"/>
      <c r="D29" s="507"/>
      <c r="E29" s="281" t="str">
        <f>CONTROL!B63</f>
        <v>-</v>
      </c>
      <c r="F29" s="44"/>
      <c r="G29" s="603">
        <f>CONTROL!C63</f>
        <v>0</v>
      </c>
      <c r="H29" s="205"/>
      <c r="I29" s="612"/>
      <c r="J29" s="604">
        <f>CONTROL!$F63</f>
        <v>0</v>
      </c>
      <c r="K29" s="605">
        <f>CONTROL!L63</f>
        <v>0</v>
      </c>
      <c r="L29" s="606">
        <f t="shared" si="2"/>
        <v>0</v>
      </c>
      <c r="M29" s="604">
        <f>CONTROL!G63</f>
        <v>0</v>
      </c>
      <c r="N29" s="605">
        <f>CONTROL!M63</f>
        <v>0</v>
      </c>
      <c r="O29" s="606">
        <f t="shared" si="3"/>
        <v>0</v>
      </c>
      <c r="P29" s="604">
        <f>CONTROL!H63</f>
        <v>0</v>
      </c>
      <c r="Q29" s="605">
        <f>CONTROL!N63</f>
        <v>0</v>
      </c>
      <c r="R29" s="606">
        <f t="shared" si="4"/>
        <v>0</v>
      </c>
      <c r="S29" s="604">
        <f>CONTROL!I63</f>
        <v>0</v>
      </c>
      <c r="T29" s="605">
        <f>CONTROL!O63</f>
        <v>0</v>
      </c>
      <c r="U29" s="607">
        <f t="shared" si="5"/>
        <v>0</v>
      </c>
      <c r="V29" s="608">
        <f t="shared" si="6"/>
        <v>0</v>
      </c>
      <c r="W29" s="609">
        <f t="shared" si="7"/>
        <v>0</v>
      </c>
      <c r="X29" s="606">
        <f t="shared" si="8"/>
        <v>0</v>
      </c>
      <c r="Y29" s="610">
        <f t="shared" si="9"/>
        <v>0</v>
      </c>
      <c r="Z29" s="611">
        <f t="shared" si="10"/>
        <v>0</v>
      </c>
      <c r="AA29" s="240"/>
    </row>
    <row r="30" spans="1:27" ht="15">
      <c r="A30" s="435">
        <f t="shared" si="1"/>
        <v>30</v>
      </c>
      <c r="B30" s="77"/>
      <c r="C30" s="41"/>
      <c r="D30" s="507"/>
      <c r="E30" s="281" t="str">
        <f>CONTROL!B64</f>
        <v>-</v>
      </c>
      <c r="F30" s="44"/>
      <c r="G30" s="603">
        <f>CONTROL!C64</f>
        <v>0</v>
      </c>
      <c r="H30" s="205"/>
      <c r="I30" s="612"/>
      <c r="J30" s="604">
        <f>CONTROL!$F64</f>
        <v>0</v>
      </c>
      <c r="K30" s="605">
        <f>CONTROL!L64</f>
        <v>0</v>
      </c>
      <c r="L30" s="606">
        <f t="shared" si="2"/>
        <v>0</v>
      </c>
      <c r="M30" s="604">
        <f>CONTROL!G64</f>
        <v>0</v>
      </c>
      <c r="N30" s="605">
        <f>CONTROL!M64</f>
        <v>0</v>
      </c>
      <c r="O30" s="606">
        <f t="shared" si="3"/>
        <v>0</v>
      </c>
      <c r="P30" s="604">
        <f>CONTROL!H64</f>
        <v>0</v>
      </c>
      <c r="Q30" s="605">
        <f>CONTROL!N64</f>
        <v>0</v>
      </c>
      <c r="R30" s="606">
        <f t="shared" si="4"/>
        <v>0</v>
      </c>
      <c r="S30" s="604">
        <f>CONTROL!I64</f>
        <v>0</v>
      </c>
      <c r="T30" s="605">
        <f>CONTROL!O64</f>
        <v>0</v>
      </c>
      <c r="U30" s="607">
        <f t="shared" si="5"/>
        <v>0</v>
      </c>
      <c r="V30" s="608">
        <f t="shared" si="6"/>
        <v>0</v>
      </c>
      <c r="W30" s="609">
        <f t="shared" si="7"/>
        <v>0</v>
      </c>
      <c r="X30" s="606">
        <f t="shared" si="8"/>
        <v>0</v>
      </c>
      <c r="Y30" s="610">
        <f t="shared" si="9"/>
        <v>0</v>
      </c>
      <c r="Z30" s="611">
        <f t="shared" si="10"/>
        <v>0</v>
      </c>
      <c r="AA30" s="240"/>
    </row>
    <row r="31" spans="1:27" ht="15">
      <c r="A31" s="435">
        <f t="shared" si="1"/>
        <v>31</v>
      </c>
      <c r="B31" s="77"/>
      <c r="C31" s="41"/>
      <c r="D31" s="507"/>
      <c r="E31" s="281" t="str">
        <f>CONTROL!B65</f>
        <v>-</v>
      </c>
      <c r="F31" s="44"/>
      <c r="G31" s="603">
        <f>CONTROL!C65</f>
        <v>0</v>
      </c>
      <c r="H31" s="205"/>
      <c r="I31" s="612"/>
      <c r="J31" s="604">
        <f>CONTROL!$F65</f>
        <v>0</v>
      </c>
      <c r="K31" s="605">
        <f>CONTROL!L65</f>
        <v>0</v>
      </c>
      <c r="L31" s="606">
        <f t="shared" si="2"/>
        <v>0</v>
      </c>
      <c r="M31" s="604">
        <f>CONTROL!G65</f>
        <v>0</v>
      </c>
      <c r="N31" s="605">
        <f>CONTROL!M65</f>
        <v>0</v>
      </c>
      <c r="O31" s="606">
        <f t="shared" si="3"/>
        <v>0</v>
      </c>
      <c r="P31" s="604">
        <f>CONTROL!H65</f>
        <v>0</v>
      </c>
      <c r="Q31" s="605">
        <f>CONTROL!N65</f>
        <v>0</v>
      </c>
      <c r="R31" s="606">
        <f t="shared" si="4"/>
        <v>0</v>
      </c>
      <c r="S31" s="604">
        <f>CONTROL!I65</f>
        <v>0</v>
      </c>
      <c r="T31" s="605">
        <f>CONTROL!O65</f>
        <v>0</v>
      </c>
      <c r="U31" s="607">
        <f t="shared" si="5"/>
        <v>0</v>
      </c>
      <c r="V31" s="608">
        <f t="shared" si="6"/>
        <v>0</v>
      </c>
      <c r="W31" s="609">
        <f t="shared" si="7"/>
        <v>0</v>
      </c>
      <c r="X31" s="606">
        <f t="shared" si="8"/>
        <v>0</v>
      </c>
      <c r="Y31" s="610">
        <f t="shared" si="9"/>
        <v>0</v>
      </c>
      <c r="Z31" s="611">
        <f t="shared" si="10"/>
        <v>0</v>
      </c>
      <c r="AA31" s="240"/>
    </row>
    <row r="32" spans="1:27" ht="15">
      <c r="A32" s="435">
        <f t="shared" si="1"/>
        <v>32</v>
      </c>
      <c r="B32" s="77"/>
      <c r="C32" s="41"/>
      <c r="D32" s="507"/>
      <c r="E32" s="281" t="str">
        <f>CONTROL!B66</f>
        <v>-</v>
      </c>
      <c r="F32" s="44"/>
      <c r="G32" s="603">
        <f>CONTROL!C66</f>
        <v>0</v>
      </c>
      <c r="H32" s="205"/>
      <c r="I32" s="612"/>
      <c r="J32" s="604">
        <f>CONTROL!$F66</f>
        <v>0</v>
      </c>
      <c r="K32" s="605">
        <f>CONTROL!L66</f>
        <v>0</v>
      </c>
      <c r="L32" s="606">
        <f t="shared" si="2"/>
        <v>0</v>
      </c>
      <c r="M32" s="604">
        <f>CONTROL!G66</f>
        <v>0</v>
      </c>
      <c r="N32" s="605">
        <f>CONTROL!M66</f>
        <v>0</v>
      </c>
      <c r="O32" s="606">
        <f t="shared" si="3"/>
        <v>0</v>
      </c>
      <c r="P32" s="604">
        <f>CONTROL!H66</f>
        <v>0</v>
      </c>
      <c r="Q32" s="605">
        <f>CONTROL!N66</f>
        <v>0</v>
      </c>
      <c r="R32" s="606">
        <f t="shared" si="4"/>
        <v>0</v>
      </c>
      <c r="S32" s="604">
        <f>CONTROL!I66</f>
        <v>0</v>
      </c>
      <c r="T32" s="605">
        <f>CONTROL!O66</f>
        <v>0</v>
      </c>
      <c r="U32" s="607">
        <f t="shared" si="5"/>
        <v>0</v>
      </c>
      <c r="V32" s="608">
        <f t="shared" si="6"/>
        <v>0</v>
      </c>
      <c r="W32" s="609">
        <f t="shared" si="7"/>
        <v>0</v>
      </c>
      <c r="X32" s="606">
        <f t="shared" si="8"/>
        <v>0</v>
      </c>
      <c r="Y32" s="610">
        <f t="shared" si="9"/>
        <v>0</v>
      </c>
      <c r="Z32" s="611">
        <f t="shared" si="10"/>
        <v>0</v>
      </c>
      <c r="AA32" s="240"/>
    </row>
    <row r="33" spans="1:27" ht="15">
      <c r="A33" s="435">
        <f t="shared" si="1"/>
        <v>33</v>
      </c>
      <c r="B33" s="77"/>
      <c r="C33" s="41"/>
      <c r="D33" s="41"/>
      <c r="E33" s="44" t="s">
        <v>351</v>
      </c>
      <c r="F33" s="44"/>
      <c r="G33" s="613">
        <f>CONTROL!F105</f>
        <v>0</v>
      </c>
      <c r="H33" s="205"/>
      <c r="I33" s="612"/>
      <c r="J33" s="604">
        <f>SUM(CONTROL!F67:F101)</f>
        <v>0</v>
      </c>
      <c r="K33" s="605">
        <f>SUM(CONTROL!L67:L101)</f>
        <v>0</v>
      </c>
      <c r="L33" s="606">
        <f t="shared" si="2"/>
        <v>0</v>
      </c>
      <c r="M33" s="604">
        <f>SUM(CONTROL!G67:G101)</f>
        <v>0</v>
      </c>
      <c r="N33" s="605">
        <f>SUM(CONTROL!M67:M101)</f>
        <v>0</v>
      </c>
      <c r="O33" s="606">
        <f t="shared" si="3"/>
        <v>0</v>
      </c>
      <c r="P33" s="604">
        <f>SUM(CONTROL!H67:H101)</f>
        <v>0</v>
      </c>
      <c r="Q33" s="605">
        <f>SUM(CONTROL!N67:N101)</f>
        <v>0</v>
      </c>
      <c r="R33" s="606">
        <f t="shared" si="4"/>
        <v>0</v>
      </c>
      <c r="S33" s="604">
        <f>SUM(CONTROL!I67:I101)</f>
        <v>0</v>
      </c>
      <c r="T33" s="605">
        <f>SUM(CONTROL!O67:O101)</f>
        <v>0</v>
      </c>
      <c r="U33" s="607">
        <f t="shared" si="5"/>
        <v>0</v>
      </c>
      <c r="V33" s="608">
        <f t="shared" si="6"/>
        <v>0</v>
      </c>
      <c r="W33" s="609">
        <f t="shared" si="7"/>
        <v>0</v>
      </c>
      <c r="X33" s="606">
        <f t="shared" si="8"/>
        <v>0</v>
      </c>
      <c r="Y33" s="610">
        <f t="shared" si="9"/>
        <v>0</v>
      </c>
      <c r="Z33" s="611">
        <f t="shared" si="10"/>
        <v>0</v>
      </c>
      <c r="AA33" s="240"/>
    </row>
    <row r="34" spans="1:27" ht="30" customHeight="1">
      <c r="A34" s="436">
        <f t="shared" si="1"/>
        <v>34</v>
      </c>
      <c r="B34" s="242"/>
      <c r="C34" s="118"/>
      <c r="D34" s="984" t="s">
        <v>350</v>
      </c>
      <c r="E34" s="984"/>
      <c r="F34" s="508"/>
      <c r="G34" s="509">
        <f>IFERROR(SUMPRODUCT(G18:G33,G163:G178)/SUM(G163:G178),0)</f>
        <v>0</v>
      </c>
      <c r="H34" s="205"/>
      <c r="I34" s="604">
        <f t="shared" ref="I34:Z34" si="11">SUM(I18:I33)</f>
        <v>0</v>
      </c>
      <c r="J34" s="604">
        <f t="shared" si="11"/>
        <v>0</v>
      </c>
      <c r="K34" s="614">
        <f t="shared" si="11"/>
        <v>0</v>
      </c>
      <c r="L34" s="614">
        <f t="shared" si="11"/>
        <v>0</v>
      </c>
      <c r="M34" s="604">
        <f t="shared" si="11"/>
        <v>0</v>
      </c>
      <c r="N34" s="614">
        <f t="shared" si="11"/>
        <v>0</v>
      </c>
      <c r="O34" s="614">
        <f t="shared" si="11"/>
        <v>0</v>
      </c>
      <c r="P34" s="604">
        <f t="shared" si="11"/>
        <v>0</v>
      </c>
      <c r="Q34" s="614">
        <f t="shared" si="11"/>
        <v>0</v>
      </c>
      <c r="R34" s="614">
        <f t="shared" si="11"/>
        <v>0</v>
      </c>
      <c r="S34" s="604">
        <f t="shared" si="11"/>
        <v>0</v>
      </c>
      <c r="T34" s="614">
        <f t="shared" si="11"/>
        <v>0</v>
      </c>
      <c r="U34" s="615">
        <f t="shared" si="11"/>
        <v>0</v>
      </c>
      <c r="V34" s="608">
        <f t="shared" si="11"/>
        <v>0</v>
      </c>
      <c r="W34" s="614">
        <f t="shared" si="11"/>
        <v>0</v>
      </c>
      <c r="X34" s="616">
        <f t="shared" si="11"/>
        <v>0</v>
      </c>
      <c r="Y34" s="610">
        <f t="shared" si="11"/>
        <v>0</v>
      </c>
      <c r="Z34" s="611">
        <f t="shared" si="11"/>
        <v>0</v>
      </c>
      <c r="AA34" s="244"/>
    </row>
    <row r="35" spans="1:27" ht="15">
      <c r="A35" s="435">
        <f t="shared" si="1"/>
        <v>35</v>
      </c>
      <c r="B35" s="77"/>
      <c r="C35" s="41"/>
      <c r="D35" s="78" t="s">
        <v>26</v>
      </c>
      <c r="E35" s="53"/>
      <c r="F35" s="53"/>
      <c r="G35" s="48"/>
      <c r="H35" s="205"/>
      <c r="I35" s="612"/>
      <c r="J35" s="617"/>
      <c r="K35" s="618"/>
      <c r="L35" s="606">
        <f>IF(K$18&lt;&gt;0,K35-J35,0)</f>
        <v>0</v>
      </c>
      <c r="M35" s="619"/>
      <c r="N35" s="620"/>
      <c r="O35" s="606">
        <f>IF(N$18&lt;&gt;0,N35-M35,0)</f>
        <v>0</v>
      </c>
      <c r="P35" s="619"/>
      <c r="Q35" s="620"/>
      <c r="R35" s="606">
        <f>IF(Q$18&lt;&gt;0,Q35-P35,0)</f>
        <v>0</v>
      </c>
      <c r="S35" s="619"/>
      <c r="T35" s="620"/>
      <c r="U35" s="607">
        <f>IF(T$18&lt;&gt;0,T35-S35,0)</f>
        <v>0</v>
      </c>
      <c r="V35" s="608">
        <f>J35+M35+P35+S35</f>
        <v>0</v>
      </c>
      <c r="W35" s="609">
        <f>SUM(IF(K$6&lt;&gt;0,K35,J35)+IF(N$6&lt;&gt;0,N35,M35)+IF(Q$6&lt;&gt;0,Q35,P35)+IF(T$6&lt;&gt;0,T35,S35))</f>
        <v>0</v>
      </c>
      <c r="X35" s="606">
        <f>W35-V35</f>
        <v>0</v>
      </c>
      <c r="Y35" s="610">
        <f>V35-I35</f>
        <v>0</v>
      </c>
      <c r="Z35" s="611">
        <f>W35-I35</f>
        <v>0</v>
      </c>
      <c r="AA35" s="240"/>
    </row>
    <row r="36" spans="1:27" ht="15">
      <c r="A36" s="435">
        <f t="shared" si="1"/>
        <v>36</v>
      </c>
      <c r="B36" s="77"/>
      <c r="C36" s="41"/>
      <c r="D36" s="78" t="s">
        <v>27</v>
      </c>
      <c r="E36" s="53"/>
      <c r="F36" s="53"/>
      <c r="G36" s="48"/>
      <c r="H36" s="205"/>
      <c r="I36" s="621"/>
      <c r="J36" s="621"/>
      <c r="K36" s="621"/>
      <c r="L36" s="621"/>
      <c r="M36" s="621"/>
      <c r="N36" s="621"/>
      <c r="O36" s="621"/>
      <c r="P36" s="621"/>
      <c r="Q36" s="621"/>
      <c r="R36" s="621"/>
      <c r="S36" s="621"/>
      <c r="T36" s="621"/>
      <c r="U36" s="611"/>
      <c r="V36" s="622"/>
      <c r="W36" s="621"/>
      <c r="X36" s="621"/>
      <c r="Y36" s="621"/>
      <c r="Z36" s="611"/>
      <c r="AA36" s="240"/>
    </row>
    <row r="37" spans="1:27" ht="15">
      <c r="A37" s="435">
        <f t="shared" si="1"/>
        <v>37</v>
      </c>
      <c r="B37" s="77"/>
      <c r="C37" s="41"/>
      <c r="D37" s="41"/>
      <c r="E37" s="33" t="s">
        <v>28</v>
      </c>
      <c r="F37" s="33"/>
      <c r="G37" s="47"/>
      <c r="H37" s="205"/>
      <c r="I37" s="612"/>
      <c r="J37" s="617"/>
      <c r="K37" s="618"/>
      <c r="L37" s="606">
        <f>IF(K$18&lt;&gt;0,K37-J37,0)</f>
        <v>0</v>
      </c>
      <c r="M37" s="619"/>
      <c r="N37" s="620"/>
      <c r="O37" s="606">
        <f>IF(N$18&lt;&gt;0,N37-M37,0)</f>
        <v>0</v>
      </c>
      <c r="P37" s="619"/>
      <c r="Q37" s="620"/>
      <c r="R37" s="606">
        <f>IF(Q$18&lt;&gt;0,Q37-P37,0)</f>
        <v>0</v>
      </c>
      <c r="S37" s="619"/>
      <c r="T37" s="620"/>
      <c r="U37" s="607">
        <f>IF(T$18&lt;&gt;0,T37-S37,0)</f>
        <v>0</v>
      </c>
      <c r="V37" s="608">
        <f>J37+M37+P37+S37</f>
        <v>0</v>
      </c>
      <c r="W37" s="609">
        <f>SUM(IF(K$6&lt;&gt;0,K37,J37)+IF(N$6&lt;&gt;0,N37,M37)+IF(Q$6&lt;&gt;0,Q37,P37)+IF(T$6&lt;&gt;0,T37,S37))</f>
        <v>0</v>
      </c>
      <c r="X37" s="606">
        <f>W37-V37</f>
        <v>0</v>
      </c>
      <c r="Y37" s="610">
        <f>V37-I37</f>
        <v>0</v>
      </c>
      <c r="Z37" s="611">
        <f>W37-I37</f>
        <v>0</v>
      </c>
      <c r="AA37" s="240"/>
    </row>
    <row r="38" spans="1:27" ht="15">
      <c r="A38" s="435">
        <f t="shared" si="1"/>
        <v>38</v>
      </c>
      <c r="B38" s="77"/>
      <c r="C38" s="41"/>
      <c r="D38" s="41"/>
      <c r="E38" s="33" t="s">
        <v>155</v>
      </c>
      <c r="F38" s="33"/>
      <c r="G38" s="47"/>
      <c r="H38" s="205"/>
      <c r="I38" s="612"/>
      <c r="J38" s="617"/>
      <c r="K38" s="618"/>
      <c r="L38" s="606">
        <f>IF(K$18&lt;&gt;0,K38-J38,0)</f>
        <v>0</v>
      </c>
      <c r="M38" s="619"/>
      <c r="N38" s="620"/>
      <c r="O38" s="606">
        <f>IF(N$18&lt;&gt;0,N38-M38,0)</f>
        <v>0</v>
      </c>
      <c r="P38" s="619"/>
      <c r="Q38" s="620"/>
      <c r="R38" s="606">
        <f>IF(Q$18&lt;&gt;0,Q38-P38,0)</f>
        <v>0</v>
      </c>
      <c r="S38" s="619"/>
      <c r="T38" s="620"/>
      <c r="U38" s="607">
        <f>IF(T$18&lt;&gt;0,T38-S38,0)</f>
        <v>0</v>
      </c>
      <c r="V38" s="608">
        <f>J38+M38+P38+S38</f>
        <v>0</v>
      </c>
      <c r="W38" s="609">
        <f>SUM(IF(K$6&lt;&gt;0,K38,J38)+IF(N$6&lt;&gt;0,N38,M38)+IF(Q$6&lt;&gt;0,Q38,P38)+IF(T$6&lt;&gt;0,T38,S38))</f>
        <v>0</v>
      </c>
      <c r="X38" s="606">
        <f>W38-V38</f>
        <v>0</v>
      </c>
      <c r="Y38" s="610">
        <f>V38-I38</f>
        <v>0</v>
      </c>
      <c r="Z38" s="611">
        <f>W38-I38</f>
        <v>0</v>
      </c>
      <c r="AA38" s="240"/>
    </row>
    <row r="39" spans="1:27" ht="15">
      <c r="A39" s="435">
        <f t="shared" si="1"/>
        <v>39</v>
      </c>
      <c r="B39" s="77"/>
      <c r="C39" s="41"/>
      <c r="D39" s="41"/>
      <c r="E39" s="33" t="s">
        <v>29</v>
      </c>
      <c r="F39" s="33"/>
      <c r="G39" s="47"/>
      <c r="H39" s="205"/>
      <c r="I39" s="612"/>
      <c r="J39" s="617"/>
      <c r="K39" s="618"/>
      <c r="L39" s="606">
        <f>IF(K$18&lt;&gt;0,K39-J39,0)</f>
        <v>0</v>
      </c>
      <c r="M39" s="619"/>
      <c r="N39" s="620"/>
      <c r="O39" s="606">
        <f>IF(N$18&lt;&gt;0,N39-M39,0)</f>
        <v>0</v>
      </c>
      <c r="P39" s="619"/>
      <c r="Q39" s="620"/>
      <c r="R39" s="606">
        <f>IF(Q$18&lt;&gt;0,Q39-P39,0)</f>
        <v>0</v>
      </c>
      <c r="S39" s="619"/>
      <c r="T39" s="620"/>
      <c r="U39" s="607">
        <f>IF(T$18&lt;&gt;0,T39-S39,0)</f>
        <v>0</v>
      </c>
      <c r="V39" s="608">
        <f>J39+M39+P39+S39</f>
        <v>0</v>
      </c>
      <c r="W39" s="609">
        <f>SUM(IF(K$6&lt;&gt;0,K39,J39)+IF(N$6&lt;&gt;0,N39,M39)+IF(Q$6&lt;&gt;0,Q39,P39)+IF(T$6&lt;&gt;0,T39,S39))</f>
        <v>0</v>
      </c>
      <c r="X39" s="606">
        <f>W39-V39</f>
        <v>0</v>
      </c>
      <c r="Y39" s="610">
        <f>V39-I39</f>
        <v>0</v>
      </c>
      <c r="Z39" s="611">
        <f>W39-I39</f>
        <v>0</v>
      </c>
      <c r="AA39" s="240"/>
    </row>
    <row r="40" spans="1:27" ht="15">
      <c r="A40" s="435">
        <f t="shared" si="1"/>
        <v>40</v>
      </c>
      <c r="B40" s="77"/>
      <c r="C40" s="41"/>
      <c r="D40" s="41" t="s">
        <v>551</v>
      </c>
      <c r="E40" s="33"/>
      <c r="F40" s="33"/>
      <c r="G40" s="47"/>
      <c r="H40" s="205"/>
      <c r="I40" s="612"/>
      <c r="J40" s="617"/>
      <c r="K40" s="618"/>
      <c r="L40" s="606"/>
      <c r="M40" s="619"/>
      <c r="N40" s="620"/>
      <c r="O40" s="606"/>
      <c r="P40" s="619"/>
      <c r="Q40" s="620"/>
      <c r="R40" s="606"/>
      <c r="S40" s="619"/>
      <c r="T40" s="620"/>
      <c r="U40" s="607"/>
      <c r="V40" s="608">
        <f>J40+M40+P40+S40</f>
        <v>0</v>
      </c>
      <c r="W40" s="609">
        <f>SUM(IF(K$6&lt;&gt;0,K40,J40)+IF(N$6&lt;&gt;0,N40,M40)+IF(Q$6&lt;&gt;0,Q40,P40)+IF(T$6&lt;&gt;0,T40,S40))</f>
        <v>0</v>
      </c>
      <c r="X40" s="606">
        <f>W40-V40</f>
        <v>0</v>
      </c>
      <c r="Y40" s="610">
        <f>V40-I40</f>
        <v>0</v>
      </c>
      <c r="Z40" s="611">
        <f>W40-I40</f>
        <v>0</v>
      </c>
      <c r="AA40" s="240"/>
    </row>
    <row r="41" spans="1:27" ht="17.25">
      <c r="A41" s="435">
        <f t="shared" si="1"/>
        <v>41</v>
      </c>
      <c r="B41" s="77"/>
      <c r="C41" s="41"/>
      <c r="D41" s="78" t="s">
        <v>29</v>
      </c>
      <c r="E41" s="53"/>
      <c r="F41" s="53"/>
      <c r="G41" s="48"/>
      <c r="H41" s="205"/>
      <c r="I41" s="623"/>
      <c r="J41" s="624"/>
      <c r="K41" s="625"/>
      <c r="L41" s="626">
        <f>IF(K$18&lt;&gt;0,K41-J41,0)</f>
        <v>0</v>
      </c>
      <c r="M41" s="627"/>
      <c r="N41" s="628"/>
      <c r="O41" s="626">
        <f>IF(N$18&lt;&gt;0,N41-M41,0)</f>
        <v>0</v>
      </c>
      <c r="P41" s="627"/>
      <c r="Q41" s="628"/>
      <c r="R41" s="626">
        <f>IF(Q$18&lt;&gt;0,Q41-P41,0)</f>
        <v>0</v>
      </c>
      <c r="S41" s="627"/>
      <c r="T41" s="628"/>
      <c r="U41" s="629">
        <f>IF(T$18&lt;&gt;0,T41-S41,0)</f>
        <v>0</v>
      </c>
      <c r="V41" s="630">
        <f>J41+M41+P41+S41</f>
        <v>0</v>
      </c>
      <c r="W41" s="631">
        <f>SUM(IF(K$6&lt;&gt;0,K41,J41)+IF(N$6&lt;&gt;0,N41,M41)+IF(Q$6&lt;&gt;0,Q41,P41)+IF(T$6&lt;&gt;0,T41,S41))</f>
        <v>0</v>
      </c>
      <c r="X41" s="626">
        <f>W41-V41</f>
        <v>0</v>
      </c>
      <c r="Y41" s="632">
        <f>V41-I41</f>
        <v>0</v>
      </c>
      <c r="Z41" s="633">
        <f>W41-I41</f>
        <v>0</v>
      </c>
      <c r="AA41" s="240"/>
    </row>
    <row r="42" spans="1:27" ht="15">
      <c r="A42" s="435">
        <f t="shared" si="1"/>
        <v>42</v>
      </c>
      <c r="B42" s="77"/>
      <c r="C42" s="41" t="s">
        <v>30</v>
      </c>
      <c r="D42" s="78"/>
      <c r="E42" s="53"/>
      <c r="F42" s="53"/>
      <c r="G42" s="48"/>
      <c r="H42" s="205"/>
      <c r="I42" s="621">
        <f t="shared" ref="I42:Z42" si="12">SUM(I34:I41)</f>
        <v>0</v>
      </c>
      <c r="J42" s="604">
        <f t="shared" si="12"/>
        <v>0</v>
      </c>
      <c r="K42" s="614">
        <f t="shared" si="12"/>
        <v>0</v>
      </c>
      <c r="L42" s="614">
        <f t="shared" si="12"/>
        <v>0</v>
      </c>
      <c r="M42" s="604">
        <f t="shared" si="12"/>
        <v>0</v>
      </c>
      <c r="N42" s="614">
        <f t="shared" si="12"/>
        <v>0</v>
      </c>
      <c r="O42" s="614">
        <f t="shared" si="12"/>
        <v>0</v>
      </c>
      <c r="P42" s="604">
        <f t="shared" si="12"/>
        <v>0</v>
      </c>
      <c r="Q42" s="614">
        <f t="shared" si="12"/>
        <v>0</v>
      </c>
      <c r="R42" s="614">
        <f t="shared" si="12"/>
        <v>0</v>
      </c>
      <c r="S42" s="604">
        <f t="shared" si="12"/>
        <v>0</v>
      </c>
      <c r="T42" s="614">
        <f t="shared" si="12"/>
        <v>0</v>
      </c>
      <c r="U42" s="615">
        <f t="shared" si="12"/>
        <v>0</v>
      </c>
      <c r="V42" s="608">
        <f t="shared" si="12"/>
        <v>0</v>
      </c>
      <c r="W42" s="614">
        <f t="shared" si="12"/>
        <v>0</v>
      </c>
      <c r="X42" s="616">
        <f t="shared" si="12"/>
        <v>0</v>
      </c>
      <c r="Y42" s="610">
        <f t="shared" si="12"/>
        <v>0</v>
      </c>
      <c r="Z42" s="611">
        <f t="shared" si="12"/>
        <v>0</v>
      </c>
      <c r="AA42" s="240"/>
    </row>
    <row r="43" spans="1:27" ht="15">
      <c r="A43" s="435">
        <f t="shared" si="1"/>
        <v>43</v>
      </c>
      <c r="B43" s="77"/>
      <c r="C43" s="41"/>
      <c r="D43" s="41"/>
      <c r="E43" s="44"/>
      <c r="F43" s="44"/>
      <c r="G43" s="42"/>
      <c r="H43" s="205"/>
      <c r="I43" s="634"/>
      <c r="J43" s="634"/>
      <c r="K43" s="634"/>
      <c r="L43" s="634"/>
      <c r="M43" s="634"/>
      <c r="N43" s="634"/>
      <c r="O43" s="634"/>
      <c r="P43" s="634"/>
      <c r="Q43" s="634"/>
      <c r="R43" s="634"/>
      <c r="S43" s="634"/>
      <c r="T43" s="634"/>
      <c r="U43" s="635"/>
      <c r="V43" s="634"/>
      <c r="W43" s="634"/>
      <c r="X43" s="634"/>
      <c r="Y43" s="634"/>
      <c r="Z43" s="635"/>
      <c r="AA43" s="240"/>
    </row>
    <row r="44" spans="1:27" ht="15">
      <c r="A44" s="435">
        <f t="shared" si="1"/>
        <v>44</v>
      </c>
      <c r="B44" s="74"/>
      <c r="C44" s="75" t="s">
        <v>31</v>
      </c>
      <c r="D44" s="75"/>
      <c r="E44" s="44"/>
      <c r="F44" s="44"/>
      <c r="G44" s="42"/>
      <c r="H44" s="205"/>
      <c r="I44" s="79"/>
      <c r="J44" s="79"/>
      <c r="K44" s="79"/>
      <c r="L44" s="79"/>
      <c r="M44" s="79"/>
      <c r="N44" s="79"/>
      <c r="O44" s="79"/>
      <c r="P44" s="79"/>
      <c r="Q44" s="79"/>
      <c r="R44" s="79"/>
      <c r="S44" s="79"/>
      <c r="T44" s="79"/>
      <c r="U44" s="80"/>
      <c r="V44" s="79"/>
      <c r="W44" s="79"/>
      <c r="X44" s="79"/>
      <c r="Y44" s="79"/>
      <c r="Z44" s="80"/>
      <c r="AA44" s="240"/>
    </row>
    <row r="45" spans="1:27" ht="15">
      <c r="A45" s="435">
        <f t="shared" si="1"/>
        <v>45</v>
      </c>
      <c r="B45" s="77"/>
      <c r="C45" s="41"/>
      <c r="D45" s="78" t="s">
        <v>32</v>
      </c>
      <c r="E45" s="53"/>
      <c r="F45" s="53"/>
      <c r="G45" s="48"/>
      <c r="H45" s="205"/>
      <c r="I45" s="612"/>
      <c r="J45" s="617"/>
      <c r="K45" s="618"/>
      <c r="L45" s="606">
        <f>IF(K$18&lt;&gt;0,K45-J45,0)</f>
        <v>0</v>
      </c>
      <c r="M45" s="619"/>
      <c r="N45" s="620"/>
      <c r="O45" s="606">
        <f>IF(N$18&lt;&gt;0,N45-M45,0)</f>
        <v>0</v>
      </c>
      <c r="P45" s="619"/>
      <c r="Q45" s="620"/>
      <c r="R45" s="606">
        <f>IF(Q$18&lt;&gt;0,Q45-P45,0)</f>
        <v>0</v>
      </c>
      <c r="S45" s="619"/>
      <c r="T45" s="620"/>
      <c r="U45" s="607">
        <f>IF(T$18&lt;&gt;0,T45-S45,0)</f>
        <v>0</v>
      </c>
      <c r="V45" s="608">
        <f>J45+M45+P45+S45</f>
        <v>0</v>
      </c>
      <c r="W45" s="609">
        <f>SUM(IF(K$6&lt;&gt;0,K45,J45)+IF(N$6&lt;&gt;0,N45,M45)+IF(Q$6&lt;&gt;0,Q45,P45)+IF(T$6&lt;&gt;0,T45,S45))</f>
        <v>0</v>
      </c>
      <c r="X45" s="606">
        <f>W45-V45</f>
        <v>0</v>
      </c>
      <c r="Y45" s="610">
        <f>V45-I45</f>
        <v>0</v>
      </c>
      <c r="Z45" s="611">
        <f>W45-I45</f>
        <v>0</v>
      </c>
      <c r="AA45" s="240"/>
    </row>
    <row r="46" spans="1:27" ht="15">
      <c r="A46" s="435">
        <f t="shared" si="1"/>
        <v>46</v>
      </c>
      <c r="B46" s="77"/>
      <c r="C46" s="41"/>
      <c r="D46" s="78" t="s">
        <v>33</v>
      </c>
      <c r="E46" s="53"/>
      <c r="F46" s="53"/>
      <c r="G46" s="48"/>
      <c r="H46" s="205"/>
      <c r="I46" s="612"/>
      <c r="J46" s="617"/>
      <c r="K46" s="618"/>
      <c r="L46" s="606">
        <f>IF(K$18&lt;&gt;0,K46-J46,0)</f>
        <v>0</v>
      </c>
      <c r="M46" s="619"/>
      <c r="N46" s="620"/>
      <c r="O46" s="606">
        <f>IF(N$18&lt;&gt;0,N46-M46,0)</f>
        <v>0</v>
      </c>
      <c r="P46" s="619"/>
      <c r="Q46" s="620"/>
      <c r="R46" s="606">
        <f>IF(Q$18&lt;&gt;0,Q46-P46,0)</f>
        <v>0</v>
      </c>
      <c r="S46" s="619"/>
      <c r="T46" s="620"/>
      <c r="U46" s="607">
        <f>IF(T$18&lt;&gt;0,T46-S46,0)</f>
        <v>0</v>
      </c>
      <c r="V46" s="608">
        <f>J46+M46+P46+S46</f>
        <v>0</v>
      </c>
      <c r="W46" s="609">
        <f>SUM(IF(K$6&lt;&gt;0,K46,J46)+IF(N$6&lt;&gt;0,N46,M46)+IF(Q$6&lt;&gt;0,Q46,P46)+IF(T$6&lt;&gt;0,T46,S46))</f>
        <v>0</v>
      </c>
      <c r="X46" s="606">
        <f>W46-V46</f>
        <v>0</v>
      </c>
      <c r="Y46" s="610">
        <f>V46-I46</f>
        <v>0</v>
      </c>
      <c r="Z46" s="611">
        <f>W46-I46</f>
        <v>0</v>
      </c>
      <c r="AA46" s="240"/>
    </row>
    <row r="47" spans="1:27" ht="15">
      <c r="A47" s="435">
        <f t="shared" si="1"/>
        <v>47</v>
      </c>
      <c r="B47" s="77"/>
      <c r="C47" s="41"/>
      <c r="D47" s="78" t="s">
        <v>34</v>
      </c>
      <c r="E47" s="53"/>
      <c r="F47" s="53"/>
      <c r="G47" s="48"/>
      <c r="H47" s="205"/>
      <c r="I47" s="612"/>
      <c r="J47" s="617"/>
      <c r="K47" s="618"/>
      <c r="L47" s="606">
        <f>IF(K$18&lt;&gt;0,K47-J47,0)</f>
        <v>0</v>
      </c>
      <c r="M47" s="619"/>
      <c r="N47" s="620"/>
      <c r="O47" s="606">
        <f>IF(N$18&lt;&gt;0,N47-M47,0)</f>
        <v>0</v>
      </c>
      <c r="P47" s="619"/>
      <c r="Q47" s="620"/>
      <c r="R47" s="606">
        <f>IF(Q$18&lt;&gt;0,Q47-P47,0)</f>
        <v>0</v>
      </c>
      <c r="S47" s="619"/>
      <c r="T47" s="620"/>
      <c r="U47" s="607">
        <f>IF(T$18&lt;&gt;0,T47-S47,0)</f>
        <v>0</v>
      </c>
      <c r="V47" s="608">
        <f>J47+M47+P47+S47</f>
        <v>0</v>
      </c>
      <c r="W47" s="609">
        <f>SUM(IF(K$6&lt;&gt;0,K47,J47)+IF(N$6&lt;&gt;0,N47,M47)+IF(Q$6&lt;&gt;0,Q47,P47)+IF(T$6&lt;&gt;0,T47,S47))</f>
        <v>0</v>
      </c>
      <c r="X47" s="606">
        <f>W47-V47</f>
        <v>0</v>
      </c>
      <c r="Y47" s="610">
        <f>V47-I47</f>
        <v>0</v>
      </c>
      <c r="Z47" s="611">
        <f>W47-I47</f>
        <v>0</v>
      </c>
      <c r="AA47" s="240"/>
    </row>
    <row r="48" spans="1:27" ht="15">
      <c r="A48" s="435">
        <f t="shared" si="1"/>
        <v>48</v>
      </c>
      <c r="B48" s="77"/>
      <c r="C48" s="41"/>
      <c r="D48" s="78" t="s">
        <v>35</v>
      </c>
      <c r="E48" s="53"/>
      <c r="F48" s="53"/>
      <c r="G48" s="48"/>
      <c r="H48" s="205"/>
      <c r="I48" s="612"/>
      <c r="J48" s="617"/>
      <c r="K48" s="618"/>
      <c r="L48" s="606">
        <f>IF(K$18&lt;&gt;0,K48-J48,0)</f>
        <v>0</v>
      </c>
      <c r="M48" s="619"/>
      <c r="N48" s="620"/>
      <c r="O48" s="606">
        <f>IF(N$18&lt;&gt;0,N48-M48,0)</f>
        <v>0</v>
      </c>
      <c r="P48" s="619"/>
      <c r="Q48" s="620"/>
      <c r="R48" s="606">
        <f>IF(Q$18&lt;&gt;0,Q48-P48,0)</f>
        <v>0</v>
      </c>
      <c r="S48" s="619"/>
      <c r="T48" s="620"/>
      <c r="U48" s="607">
        <f>IF(T$18&lt;&gt;0,T48-S48,0)</f>
        <v>0</v>
      </c>
      <c r="V48" s="608">
        <f>J48+M48+P48+S48</f>
        <v>0</v>
      </c>
      <c r="W48" s="609">
        <f>SUM(IF(K$6&lt;&gt;0,K48,J48)+IF(N$6&lt;&gt;0,N48,M48)+IF(Q$6&lt;&gt;0,Q48,P48)+IF(T$6&lt;&gt;0,T48,S48))</f>
        <v>0</v>
      </c>
      <c r="X48" s="606">
        <f>W48-V48</f>
        <v>0</v>
      </c>
      <c r="Y48" s="610">
        <f>V48-I48</f>
        <v>0</v>
      </c>
      <c r="Z48" s="611">
        <f>W48-I48</f>
        <v>0</v>
      </c>
      <c r="AA48" s="240"/>
    </row>
    <row r="49" spans="1:27" ht="15">
      <c r="A49" s="435">
        <f t="shared" si="1"/>
        <v>49</v>
      </c>
      <c r="B49" s="77"/>
      <c r="C49" s="41"/>
      <c r="D49" s="78" t="s">
        <v>27</v>
      </c>
      <c r="E49" s="53"/>
      <c r="F49" s="53"/>
      <c r="G49" s="48"/>
      <c r="H49" s="205"/>
      <c r="I49" s="621"/>
      <c r="J49" s="621"/>
      <c r="K49" s="621"/>
      <c r="L49" s="621"/>
      <c r="M49" s="621"/>
      <c r="N49" s="621"/>
      <c r="O49" s="621"/>
      <c r="P49" s="621"/>
      <c r="Q49" s="621"/>
      <c r="R49" s="621"/>
      <c r="S49" s="621"/>
      <c r="T49" s="621"/>
      <c r="U49" s="611"/>
      <c r="V49" s="622"/>
      <c r="W49" s="621"/>
      <c r="X49" s="621"/>
      <c r="Y49" s="621"/>
      <c r="Z49" s="611"/>
      <c r="AA49" s="240"/>
    </row>
    <row r="50" spans="1:27" ht="15">
      <c r="A50" s="435">
        <f t="shared" si="1"/>
        <v>50</v>
      </c>
      <c r="B50" s="77"/>
      <c r="C50" s="41"/>
      <c r="D50" s="41"/>
      <c r="E50" s="33" t="s">
        <v>36</v>
      </c>
      <c r="F50" s="33"/>
      <c r="G50" s="47"/>
      <c r="H50" s="205"/>
      <c r="I50" s="571"/>
      <c r="J50" s="570"/>
      <c r="K50" s="618"/>
      <c r="L50" s="606">
        <f>IF(K$18&lt;&gt;0,K50-J50,0)</f>
        <v>0</v>
      </c>
      <c r="M50" s="570"/>
      <c r="N50" s="620"/>
      <c r="O50" s="606">
        <f>IF(N$18&lt;&gt;0,N50-M50,0)</f>
        <v>0</v>
      </c>
      <c r="P50" s="570"/>
      <c r="Q50" s="620"/>
      <c r="R50" s="606">
        <f>IF(Q$18&lt;&gt;0,Q50-P50,0)</f>
        <v>0</v>
      </c>
      <c r="S50" s="570"/>
      <c r="T50" s="620"/>
      <c r="U50" s="607">
        <f>IF(T$18&lt;&gt;0,T50-S50,0)</f>
        <v>0</v>
      </c>
      <c r="V50" s="608">
        <f>J50+M50+P50+S50</f>
        <v>0</v>
      </c>
      <c r="W50" s="609">
        <f>SUM(IF(K$6&lt;&gt;0,K50,J50)+IF(N$6&lt;&gt;0,N50,M50)+IF(Q$6&lt;&gt;0,Q50,P50)+IF(T$6&lt;&gt;0,T50,S50))</f>
        <v>0</v>
      </c>
      <c r="X50" s="606">
        <f>W50-V50</f>
        <v>0</v>
      </c>
      <c r="Y50" s="610">
        <f>V50-I50</f>
        <v>0</v>
      </c>
      <c r="Z50" s="611">
        <f>W50-I50</f>
        <v>0</v>
      </c>
      <c r="AA50" s="240"/>
    </row>
    <row r="51" spans="1:27" ht="15">
      <c r="A51" s="435">
        <f t="shared" si="1"/>
        <v>51</v>
      </c>
      <c r="B51" s="77"/>
      <c r="C51" s="41"/>
      <c r="D51" s="41"/>
      <c r="E51" s="33" t="s">
        <v>29</v>
      </c>
      <c r="F51" s="33"/>
      <c r="G51" s="47"/>
      <c r="H51" s="205"/>
      <c r="I51" s="571"/>
      <c r="J51" s="570"/>
      <c r="K51" s="618"/>
      <c r="L51" s="606">
        <f>IF(K$18&lt;&gt;0,K51-J51,0)</f>
        <v>0</v>
      </c>
      <c r="M51" s="619"/>
      <c r="N51" s="620"/>
      <c r="O51" s="606">
        <f>IF(N$18&lt;&gt;0,N51-M51,0)</f>
        <v>0</v>
      </c>
      <c r="P51" s="619"/>
      <c r="Q51" s="620"/>
      <c r="R51" s="606">
        <f>IF(Q$18&lt;&gt;0,Q51-P51,0)</f>
        <v>0</v>
      </c>
      <c r="S51" s="619"/>
      <c r="T51" s="620"/>
      <c r="U51" s="607">
        <f>IF(T$18&lt;&gt;0,T51-S51,0)</f>
        <v>0</v>
      </c>
      <c r="V51" s="608">
        <f>J51+M51+P51+S51</f>
        <v>0</v>
      </c>
      <c r="W51" s="609">
        <f>SUM(IF(K$6&lt;&gt;0,K51,J51)+IF(N$6&lt;&gt;0,N51,M51)+IF(Q$6&lt;&gt;0,Q51,P51)+IF(T$6&lt;&gt;0,T51,S51))</f>
        <v>0</v>
      </c>
      <c r="X51" s="606">
        <f>W51-V51</f>
        <v>0</v>
      </c>
      <c r="Y51" s="610">
        <f>V51-I51</f>
        <v>0</v>
      </c>
      <c r="Z51" s="611">
        <f>W51-I51</f>
        <v>0</v>
      </c>
      <c r="AA51" s="240"/>
    </row>
    <row r="52" spans="1:27" ht="17.25">
      <c r="A52" s="435">
        <f t="shared" si="1"/>
        <v>52</v>
      </c>
      <c r="B52" s="77"/>
      <c r="C52" s="41"/>
      <c r="D52" s="78" t="s">
        <v>37</v>
      </c>
      <c r="E52" s="53"/>
      <c r="F52" s="53"/>
      <c r="G52" s="48"/>
      <c r="H52" s="205"/>
      <c r="I52" s="623"/>
      <c r="J52" s="624"/>
      <c r="K52" s="625"/>
      <c r="L52" s="626">
        <f>IF(K$18&lt;&gt;0,K52-J52,0)</f>
        <v>0</v>
      </c>
      <c r="M52" s="627"/>
      <c r="N52" s="628"/>
      <c r="O52" s="626">
        <f>IF(N$18&lt;&gt;0,N52-M52,0)</f>
        <v>0</v>
      </c>
      <c r="P52" s="627"/>
      <c r="Q52" s="628"/>
      <c r="R52" s="626">
        <f>IF(Q$18&lt;&gt;0,Q52-P52,0)</f>
        <v>0</v>
      </c>
      <c r="S52" s="627"/>
      <c r="T52" s="628"/>
      <c r="U52" s="629">
        <f>IF(T$18&lt;&gt;0,T52-S52,0)</f>
        <v>0</v>
      </c>
      <c r="V52" s="630">
        <f>J52+M52+P52+S52</f>
        <v>0</v>
      </c>
      <c r="W52" s="631">
        <f>SUM(IF(K$6&lt;&gt;0,K52,J52)+IF(N$6&lt;&gt;0,N52,M52)+IF(Q$6&lt;&gt;0,Q52,P52)+IF(T$6&lt;&gt;0,T52,S52))</f>
        <v>0</v>
      </c>
      <c r="X52" s="626">
        <f>W52-V52</f>
        <v>0</v>
      </c>
      <c r="Y52" s="632">
        <f>V52-I52</f>
        <v>0</v>
      </c>
      <c r="Z52" s="633">
        <f>W52-I52</f>
        <v>0</v>
      </c>
      <c r="AA52" s="240"/>
    </row>
    <row r="53" spans="1:27" ht="15">
      <c r="A53" s="435">
        <f t="shared" si="1"/>
        <v>53</v>
      </c>
      <c r="B53" s="77"/>
      <c r="C53" s="41" t="s">
        <v>38</v>
      </c>
      <c r="D53" s="78"/>
      <c r="E53" s="53"/>
      <c r="F53" s="53"/>
      <c r="G53" s="48"/>
      <c r="H53" s="205"/>
      <c r="I53" s="621">
        <f t="shared" ref="I53:Z53" si="13">SUM(I45:I52)</f>
        <v>0</v>
      </c>
      <c r="J53" s="604">
        <f t="shared" si="13"/>
        <v>0</v>
      </c>
      <c r="K53" s="614">
        <f t="shared" si="13"/>
        <v>0</v>
      </c>
      <c r="L53" s="614">
        <f t="shared" si="13"/>
        <v>0</v>
      </c>
      <c r="M53" s="604">
        <f t="shared" si="13"/>
        <v>0</v>
      </c>
      <c r="N53" s="614">
        <f t="shared" si="13"/>
        <v>0</v>
      </c>
      <c r="O53" s="614">
        <f t="shared" si="13"/>
        <v>0</v>
      </c>
      <c r="P53" s="604">
        <f t="shared" si="13"/>
        <v>0</v>
      </c>
      <c r="Q53" s="614">
        <f t="shared" si="13"/>
        <v>0</v>
      </c>
      <c r="R53" s="614">
        <f t="shared" si="13"/>
        <v>0</v>
      </c>
      <c r="S53" s="604">
        <f t="shared" si="13"/>
        <v>0</v>
      </c>
      <c r="T53" s="614">
        <f t="shared" si="13"/>
        <v>0</v>
      </c>
      <c r="U53" s="615">
        <f t="shared" si="13"/>
        <v>0</v>
      </c>
      <c r="V53" s="608">
        <f t="shared" si="13"/>
        <v>0</v>
      </c>
      <c r="W53" s="614">
        <f t="shared" si="13"/>
        <v>0</v>
      </c>
      <c r="X53" s="616">
        <f t="shared" si="13"/>
        <v>0</v>
      </c>
      <c r="Y53" s="610">
        <f t="shared" si="13"/>
        <v>0</v>
      </c>
      <c r="Z53" s="611">
        <f t="shared" si="13"/>
        <v>0</v>
      </c>
      <c r="AA53" s="240"/>
    </row>
    <row r="54" spans="1:27" ht="15">
      <c r="A54" s="435">
        <f t="shared" si="1"/>
        <v>54</v>
      </c>
      <c r="B54" s="77"/>
      <c r="C54" s="41"/>
      <c r="D54" s="41"/>
      <c r="E54" s="44"/>
      <c r="F54" s="44"/>
      <c r="G54" s="42"/>
      <c r="H54" s="205"/>
      <c r="I54" s="634"/>
      <c r="J54" s="634"/>
      <c r="K54" s="634"/>
      <c r="L54" s="634"/>
      <c r="M54" s="634"/>
      <c r="N54" s="634"/>
      <c r="O54" s="634"/>
      <c r="P54" s="634"/>
      <c r="Q54" s="634"/>
      <c r="R54" s="634"/>
      <c r="S54" s="634"/>
      <c r="T54" s="634"/>
      <c r="U54" s="635"/>
      <c r="V54" s="634"/>
      <c r="W54" s="634"/>
      <c r="X54" s="634"/>
      <c r="Y54" s="634"/>
      <c r="Z54" s="635"/>
      <c r="AA54" s="240"/>
    </row>
    <row r="55" spans="1:27" ht="15">
      <c r="A55" s="435">
        <f t="shared" si="1"/>
        <v>55</v>
      </c>
      <c r="B55" s="74"/>
      <c r="C55" s="75" t="s">
        <v>39</v>
      </c>
      <c r="D55" s="75"/>
      <c r="E55" s="44"/>
      <c r="F55" s="44"/>
      <c r="G55" s="42"/>
      <c r="H55" s="205"/>
      <c r="I55" s="79"/>
      <c r="J55" s="79"/>
      <c r="K55" s="79"/>
      <c r="L55" s="79"/>
      <c r="M55" s="79"/>
      <c r="N55" s="79"/>
      <c r="O55" s="79"/>
      <c r="P55" s="79"/>
      <c r="Q55" s="79"/>
      <c r="R55" s="79"/>
      <c r="S55" s="79"/>
      <c r="T55" s="79"/>
      <c r="U55" s="80"/>
      <c r="V55" s="79"/>
      <c r="W55" s="79"/>
      <c r="X55" s="79"/>
      <c r="Y55" s="79"/>
      <c r="Z55" s="80"/>
      <c r="AA55" s="240"/>
    </row>
    <row r="56" spans="1:27" ht="15">
      <c r="A56" s="435">
        <f t="shared" si="1"/>
        <v>56</v>
      </c>
      <c r="B56" s="77"/>
      <c r="C56" s="41"/>
      <c r="D56" s="78" t="s">
        <v>40</v>
      </c>
      <c r="E56" s="53"/>
      <c r="F56" s="53"/>
      <c r="G56" s="48"/>
      <c r="H56" s="205"/>
      <c r="I56" s="612"/>
      <c r="J56" s="617"/>
      <c r="K56" s="618"/>
      <c r="L56" s="606">
        <f t="shared" ref="L56:L63" si="14">IF(K$18&lt;&gt;0,K56-J56,0)</f>
        <v>0</v>
      </c>
      <c r="M56" s="619"/>
      <c r="N56" s="620"/>
      <c r="O56" s="606">
        <f t="shared" ref="O56:O63" si="15">IF(N$18&lt;&gt;0,N56-M56,0)</f>
        <v>0</v>
      </c>
      <c r="P56" s="619"/>
      <c r="Q56" s="620"/>
      <c r="R56" s="606">
        <f t="shared" ref="R56:R63" si="16">IF(Q$18&lt;&gt;0,Q56-P56,0)</f>
        <v>0</v>
      </c>
      <c r="S56" s="619"/>
      <c r="T56" s="620"/>
      <c r="U56" s="607">
        <f t="shared" ref="U56:U63" si="17">IF(T$18&lt;&gt;0,T56-S56,0)</f>
        <v>0</v>
      </c>
      <c r="V56" s="608">
        <f t="shared" ref="V56:V63" si="18">J56+M56+P56+S56</f>
        <v>0</v>
      </c>
      <c r="W56" s="609">
        <f t="shared" ref="W56:W63" si="19">SUM(IF(K$6&lt;&gt;0,K56,J56)+IF(N$6&lt;&gt;0,N56,M56)+IF(Q$6&lt;&gt;0,Q56,P56)+IF(T$6&lt;&gt;0,T56,S56))</f>
        <v>0</v>
      </c>
      <c r="X56" s="606">
        <f t="shared" ref="X56:X63" si="20">W56-V56</f>
        <v>0</v>
      </c>
      <c r="Y56" s="610">
        <f t="shared" ref="Y56:Y63" si="21">V56-I56</f>
        <v>0</v>
      </c>
      <c r="Z56" s="611">
        <f t="shared" ref="Z56:Z63" si="22">W56-I56</f>
        <v>0</v>
      </c>
      <c r="AA56" s="240"/>
    </row>
    <row r="57" spans="1:27" ht="15">
      <c r="A57" s="435">
        <f t="shared" si="1"/>
        <v>57</v>
      </c>
      <c r="B57" s="77"/>
      <c r="C57" s="41"/>
      <c r="D57" s="78" t="s">
        <v>41</v>
      </c>
      <c r="E57" s="53"/>
      <c r="F57" s="53"/>
      <c r="G57" s="48"/>
      <c r="H57" s="205"/>
      <c r="I57" s="612"/>
      <c r="J57" s="617"/>
      <c r="K57" s="618"/>
      <c r="L57" s="606">
        <f t="shared" si="14"/>
        <v>0</v>
      </c>
      <c r="M57" s="619"/>
      <c r="N57" s="620"/>
      <c r="O57" s="606">
        <f t="shared" si="15"/>
        <v>0</v>
      </c>
      <c r="P57" s="619"/>
      <c r="Q57" s="620"/>
      <c r="R57" s="606">
        <f t="shared" si="16"/>
        <v>0</v>
      </c>
      <c r="S57" s="619"/>
      <c r="T57" s="620"/>
      <c r="U57" s="607">
        <f t="shared" si="17"/>
        <v>0</v>
      </c>
      <c r="V57" s="608">
        <f t="shared" si="18"/>
        <v>0</v>
      </c>
      <c r="W57" s="609">
        <f t="shared" si="19"/>
        <v>0</v>
      </c>
      <c r="X57" s="606">
        <f t="shared" si="20"/>
        <v>0</v>
      </c>
      <c r="Y57" s="610">
        <f t="shared" si="21"/>
        <v>0</v>
      </c>
      <c r="Z57" s="611">
        <f t="shared" si="22"/>
        <v>0</v>
      </c>
      <c r="AA57" s="240"/>
    </row>
    <row r="58" spans="1:27" ht="15">
      <c r="A58" s="435">
        <f t="shared" si="1"/>
        <v>58</v>
      </c>
      <c r="B58" s="77"/>
      <c r="C58" s="41"/>
      <c r="D58" s="78" t="s">
        <v>42</v>
      </c>
      <c r="E58" s="53"/>
      <c r="F58" s="53"/>
      <c r="G58" s="48"/>
      <c r="H58" s="205"/>
      <c r="I58" s="612"/>
      <c r="J58" s="617"/>
      <c r="K58" s="618"/>
      <c r="L58" s="606">
        <f t="shared" si="14"/>
        <v>0</v>
      </c>
      <c r="M58" s="619"/>
      <c r="N58" s="620"/>
      <c r="O58" s="606">
        <f t="shared" si="15"/>
        <v>0</v>
      </c>
      <c r="P58" s="619"/>
      <c r="Q58" s="620"/>
      <c r="R58" s="606">
        <f t="shared" si="16"/>
        <v>0</v>
      </c>
      <c r="S58" s="619"/>
      <c r="T58" s="620"/>
      <c r="U58" s="607">
        <f t="shared" si="17"/>
        <v>0</v>
      </c>
      <c r="V58" s="608">
        <f t="shared" si="18"/>
        <v>0</v>
      </c>
      <c r="W58" s="609">
        <f t="shared" si="19"/>
        <v>0</v>
      </c>
      <c r="X58" s="606">
        <f t="shared" si="20"/>
        <v>0</v>
      </c>
      <c r="Y58" s="610">
        <f t="shared" si="21"/>
        <v>0</v>
      </c>
      <c r="Z58" s="611">
        <f t="shared" si="22"/>
        <v>0</v>
      </c>
      <c r="AA58" s="240"/>
    </row>
    <row r="59" spans="1:27" ht="15">
      <c r="A59" s="435">
        <f t="shared" si="1"/>
        <v>59</v>
      </c>
      <c r="B59" s="77"/>
      <c r="C59" s="41"/>
      <c r="D59" s="78" t="s">
        <v>43</v>
      </c>
      <c r="E59" s="53"/>
      <c r="F59" s="53"/>
      <c r="G59" s="48"/>
      <c r="H59" s="205"/>
      <c r="I59" s="612"/>
      <c r="J59" s="617"/>
      <c r="K59" s="618"/>
      <c r="L59" s="606">
        <f t="shared" si="14"/>
        <v>0</v>
      </c>
      <c r="M59" s="619"/>
      <c r="N59" s="620"/>
      <c r="O59" s="606">
        <f t="shared" si="15"/>
        <v>0</v>
      </c>
      <c r="P59" s="619"/>
      <c r="Q59" s="620"/>
      <c r="R59" s="606">
        <f t="shared" si="16"/>
        <v>0</v>
      </c>
      <c r="S59" s="619"/>
      <c r="T59" s="620"/>
      <c r="U59" s="607">
        <f t="shared" si="17"/>
        <v>0</v>
      </c>
      <c r="V59" s="608">
        <f t="shared" si="18"/>
        <v>0</v>
      </c>
      <c r="W59" s="609">
        <f t="shared" si="19"/>
        <v>0</v>
      </c>
      <c r="X59" s="606">
        <f t="shared" si="20"/>
        <v>0</v>
      </c>
      <c r="Y59" s="610">
        <f t="shared" si="21"/>
        <v>0</v>
      </c>
      <c r="Z59" s="611">
        <f t="shared" si="22"/>
        <v>0</v>
      </c>
      <c r="AA59" s="240"/>
    </row>
    <row r="60" spans="1:27" ht="15">
      <c r="A60" s="435">
        <f t="shared" si="1"/>
        <v>60</v>
      </c>
      <c r="B60" s="77"/>
      <c r="C60" s="41"/>
      <c r="D60" s="78" t="s">
        <v>44</v>
      </c>
      <c r="E60" s="53"/>
      <c r="F60" s="53"/>
      <c r="G60" s="48"/>
      <c r="H60" s="205"/>
      <c r="I60" s="612"/>
      <c r="J60" s="617"/>
      <c r="K60" s="618"/>
      <c r="L60" s="606">
        <f t="shared" si="14"/>
        <v>0</v>
      </c>
      <c r="M60" s="619"/>
      <c r="N60" s="620"/>
      <c r="O60" s="606">
        <f t="shared" si="15"/>
        <v>0</v>
      </c>
      <c r="P60" s="619"/>
      <c r="Q60" s="620"/>
      <c r="R60" s="606">
        <f t="shared" si="16"/>
        <v>0</v>
      </c>
      <c r="S60" s="619"/>
      <c r="T60" s="620"/>
      <c r="U60" s="607">
        <f t="shared" si="17"/>
        <v>0</v>
      </c>
      <c r="V60" s="608">
        <f t="shared" si="18"/>
        <v>0</v>
      </c>
      <c r="W60" s="609">
        <f t="shared" si="19"/>
        <v>0</v>
      </c>
      <c r="X60" s="606">
        <f t="shared" si="20"/>
        <v>0</v>
      </c>
      <c r="Y60" s="610">
        <f t="shared" si="21"/>
        <v>0</v>
      </c>
      <c r="Z60" s="611">
        <f t="shared" si="22"/>
        <v>0</v>
      </c>
      <c r="AA60" s="240"/>
    </row>
    <row r="61" spans="1:27" ht="15">
      <c r="A61" s="435">
        <f t="shared" si="1"/>
        <v>61</v>
      </c>
      <c r="B61" s="77"/>
      <c r="C61" s="41"/>
      <c r="D61" s="78" t="s">
        <v>45</v>
      </c>
      <c r="E61" s="53"/>
      <c r="F61" s="53"/>
      <c r="G61" s="48"/>
      <c r="H61" s="205"/>
      <c r="I61" s="571"/>
      <c r="J61" s="570"/>
      <c r="K61" s="618"/>
      <c r="L61" s="606">
        <f t="shared" si="14"/>
        <v>0</v>
      </c>
      <c r="M61" s="570"/>
      <c r="N61" s="620"/>
      <c r="O61" s="606">
        <f t="shared" si="15"/>
        <v>0</v>
      </c>
      <c r="P61" s="570"/>
      <c r="Q61" s="620"/>
      <c r="R61" s="606">
        <f t="shared" si="16"/>
        <v>0</v>
      </c>
      <c r="S61" s="570"/>
      <c r="T61" s="620"/>
      <c r="U61" s="607">
        <f t="shared" si="17"/>
        <v>0</v>
      </c>
      <c r="V61" s="608">
        <f t="shared" si="18"/>
        <v>0</v>
      </c>
      <c r="W61" s="609">
        <f t="shared" si="19"/>
        <v>0</v>
      </c>
      <c r="X61" s="606">
        <f t="shared" si="20"/>
        <v>0</v>
      </c>
      <c r="Y61" s="610">
        <f t="shared" si="21"/>
        <v>0</v>
      </c>
      <c r="Z61" s="611">
        <f t="shared" si="22"/>
        <v>0</v>
      </c>
      <c r="AA61" s="240"/>
    </row>
    <row r="62" spans="1:27" ht="15">
      <c r="A62" s="435">
        <f t="shared" si="1"/>
        <v>62</v>
      </c>
      <c r="B62" s="77"/>
      <c r="C62" s="41"/>
      <c r="D62" s="78" t="s">
        <v>46</v>
      </c>
      <c r="E62" s="53"/>
      <c r="F62" s="53"/>
      <c r="G62" s="48"/>
      <c r="H62" s="205"/>
      <c r="I62" s="612"/>
      <c r="J62" s="617"/>
      <c r="K62" s="618"/>
      <c r="L62" s="606">
        <f t="shared" si="14"/>
        <v>0</v>
      </c>
      <c r="M62" s="619"/>
      <c r="N62" s="620"/>
      <c r="O62" s="606">
        <f t="shared" si="15"/>
        <v>0</v>
      </c>
      <c r="P62" s="619"/>
      <c r="Q62" s="620"/>
      <c r="R62" s="606">
        <f t="shared" si="16"/>
        <v>0</v>
      </c>
      <c r="S62" s="619"/>
      <c r="T62" s="620"/>
      <c r="U62" s="607">
        <f t="shared" si="17"/>
        <v>0</v>
      </c>
      <c r="V62" s="608">
        <f t="shared" si="18"/>
        <v>0</v>
      </c>
      <c r="W62" s="609">
        <f t="shared" si="19"/>
        <v>0</v>
      </c>
      <c r="X62" s="606">
        <f t="shared" si="20"/>
        <v>0</v>
      </c>
      <c r="Y62" s="610">
        <f t="shared" si="21"/>
        <v>0</v>
      </c>
      <c r="Z62" s="611">
        <f t="shared" si="22"/>
        <v>0</v>
      </c>
      <c r="AA62" s="240"/>
    </row>
    <row r="63" spans="1:27" ht="17.25">
      <c r="A63" s="435">
        <f t="shared" si="1"/>
        <v>63</v>
      </c>
      <c r="B63" s="77"/>
      <c r="C63" s="41"/>
      <c r="D63" s="78" t="s">
        <v>47</v>
      </c>
      <c r="E63" s="53"/>
      <c r="F63" s="53"/>
      <c r="G63" s="48"/>
      <c r="H63" s="205"/>
      <c r="I63" s="623"/>
      <c r="J63" s="624"/>
      <c r="K63" s="625"/>
      <c r="L63" s="626">
        <f t="shared" si="14"/>
        <v>0</v>
      </c>
      <c r="M63" s="627"/>
      <c r="N63" s="628"/>
      <c r="O63" s="626">
        <f t="shared" si="15"/>
        <v>0</v>
      </c>
      <c r="P63" s="627"/>
      <c r="Q63" s="628"/>
      <c r="R63" s="626">
        <f t="shared" si="16"/>
        <v>0</v>
      </c>
      <c r="S63" s="627"/>
      <c r="T63" s="628"/>
      <c r="U63" s="629">
        <f t="shared" si="17"/>
        <v>0</v>
      </c>
      <c r="V63" s="630">
        <f t="shared" si="18"/>
        <v>0</v>
      </c>
      <c r="W63" s="631">
        <f t="shared" si="19"/>
        <v>0</v>
      </c>
      <c r="X63" s="626">
        <f t="shared" si="20"/>
        <v>0</v>
      </c>
      <c r="Y63" s="632">
        <f t="shared" si="21"/>
        <v>0</v>
      </c>
      <c r="Z63" s="633">
        <f t="shared" si="22"/>
        <v>0</v>
      </c>
      <c r="AA63" s="240"/>
    </row>
    <row r="64" spans="1:27" ht="15">
      <c r="A64" s="435">
        <f t="shared" si="1"/>
        <v>64</v>
      </c>
      <c r="B64" s="77"/>
      <c r="C64" s="41" t="s">
        <v>48</v>
      </c>
      <c r="D64" s="78"/>
      <c r="E64" s="53"/>
      <c r="F64" s="53"/>
      <c r="G64" s="48"/>
      <c r="H64" s="205"/>
      <c r="I64" s="621">
        <f t="shared" ref="I64:Z64" si="23">SUM(I56:I63)</f>
        <v>0</v>
      </c>
      <c r="J64" s="604">
        <f t="shared" si="23"/>
        <v>0</v>
      </c>
      <c r="K64" s="614">
        <f t="shared" si="23"/>
        <v>0</v>
      </c>
      <c r="L64" s="614">
        <f t="shared" si="23"/>
        <v>0</v>
      </c>
      <c r="M64" s="604">
        <f t="shared" si="23"/>
        <v>0</v>
      </c>
      <c r="N64" s="614">
        <f t="shared" si="23"/>
        <v>0</v>
      </c>
      <c r="O64" s="614">
        <f t="shared" si="23"/>
        <v>0</v>
      </c>
      <c r="P64" s="604">
        <f t="shared" si="23"/>
        <v>0</v>
      </c>
      <c r="Q64" s="614">
        <f t="shared" si="23"/>
        <v>0</v>
      </c>
      <c r="R64" s="614">
        <f t="shared" si="23"/>
        <v>0</v>
      </c>
      <c r="S64" s="604">
        <f t="shared" si="23"/>
        <v>0</v>
      </c>
      <c r="T64" s="614">
        <f t="shared" si="23"/>
        <v>0</v>
      </c>
      <c r="U64" s="615">
        <f t="shared" si="23"/>
        <v>0</v>
      </c>
      <c r="V64" s="608">
        <f t="shared" si="23"/>
        <v>0</v>
      </c>
      <c r="W64" s="614">
        <f t="shared" si="23"/>
        <v>0</v>
      </c>
      <c r="X64" s="616">
        <f t="shared" si="23"/>
        <v>0</v>
      </c>
      <c r="Y64" s="610">
        <f t="shared" si="23"/>
        <v>0</v>
      </c>
      <c r="Z64" s="611">
        <f t="shared" si="23"/>
        <v>0</v>
      </c>
      <c r="AA64" s="240"/>
    </row>
    <row r="65" spans="1:27" ht="15">
      <c r="A65" s="435">
        <f t="shared" si="1"/>
        <v>65</v>
      </c>
      <c r="B65" s="77"/>
      <c r="C65" s="41"/>
      <c r="D65" s="78"/>
      <c r="E65" s="53"/>
      <c r="F65" s="53"/>
      <c r="G65" s="48"/>
      <c r="H65" s="205"/>
      <c r="I65" s="621"/>
      <c r="J65" s="621"/>
      <c r="K65" s="621"/>
      <c r="L65" s="621"/>
      <c r="M65" s="621"/>
      <c r="N65" s="621"/>
      <c r="O65" s="621"/>
      <c r="P65" s="621"/>
      <c r="Q65" s="621"/>
      <c r="R65" s="621"/>
      <c r="S65" s="621"/>
      <c r="T65" s="621"/>
      <c r="U65" s="636"/>
      <c r="V65" s="637"/>
      <c r="W65" s="621"/>
      <c r="X65" s="621"/>
      <c r="Y65" s="621"/>
      <c r="Z65" s="611"/>
      <c r="AA65" s="240"/>
    </row>
    <row r="66" spans="1:27" ht="18" thickBot="1">
      <c r="A66" s="435">
        <f t="shared" si="1"/>
        <v>66</v>
      </c>
      <c r="B66" s="90" t="s">
        <v>49</v>
      </c>
      <c r="C66" s="91"/>
      <c r="D66" s="91"/>
      <c r="E66" s="92"/>
      <c r="F66" s="107"/>
      <c r="G66" s="93"/>
      <c r="H66" s="458"/>
      <c r="I66" s="638">
        <f t="shared" ref="I66:Z66" si="24">I64+I53+I42</f>
        <v>0</v>
      </c>
      <c r="J66" s="639">
        <f t="shared" si="24"/>
        <v>0</v>
      </c>
      <c r="K66" s="640">
        <f t="shared" si="24"/>
        <v>0</v>
      </c>
      <c r="L66" s="638">
        <f t="shared" si="24"/>
        <v>0</v>
      </c>
      <c r="M66" s="641">
        <f t="shared" si="24"/>
        <v>0</v>
      </c>
      <c r="N66" s="642">
        <f t="shared" si="24"/>
        <v>0</v>
      </c>
      <c r="O66" s="638">
        <f t="shared" si="24"/>
        <v>0</v>
      </c>
      <c r="P66" s="641">
        <f t="shared" si="24"/>
        <v>0</v>
      </c>
      <c r="Q66" s="642">
        <f t="shared" si="24"/>
        <v>0</v>
      </c>
      <c r="R66" s="638">
        <f t="shared" si="24"/>
        <v>0</v>
      </c>
      <c r="S66" s="641">
        <f t="shared" si="24"/>
        <v>0</v>
      </c>
      <c r="T66" s="642">
        <f t="shared" si="24"/>
        <v>0</v>
      </c>
      <c r="U66" s="643">
        <f t="shared" si="24"/>
        <v>0</v>
      </c>
      <c r="V66" s="644">
        <f t="shared" si="24"/>
        <v>0</v>
      </c>
      <c r="W66" s="645">
        <f t="shared" si="24"/>
        <v>0</v>
      </c>
      <c r="X66" s="646">
        <f t="shared" si="24"/>
        <v>0</v>
      </c>
      <c r="Y66" s="647">
        <f t="shared" si="24"/>
        <v>0</v>
      </c>
      <c r="Z66" s="648">
        <f t="shared" si="24"/>
        <v>0</v>
      </c>
      <c r="AA66" s="250"/>
    </row>
    <row r="67" spans="1:27" ht="19.5" thickTop="1">
      <c r="A67" s="435">
        <f t="shared" si="1"/>
        <v>67</v>
      </c>
      <c r="B67" s="220"/>
      <c r="C67" s="75"/>
      <c r="D67" s="75"/>
      <c r="E67" s="53"/>
      <c r="F67" s="53"/>
      <c r="G67" s="48"/>
      <c r="H67" s="205"/>
      <c r="I67" s="76"/>
      <c r="J67" s="76"/>
      <c r="K67" s="76"/>
      <c r="L67" s="76"/>
      <c r="M67" s="76"/>
      <c r="N67" s="76"/>
      <c r="O67" s="76"/>
      <c r="P67" s="76"/>
      <c r="Q67" s="76"/>
      <c r="R67" s="76"/>
      <c r="S67" s="76"/>
      <c r="T67" s="76"/>
      <c r="U67" s="451"/>
      <c r="V67" s="452"/>
      <c r="W67" s="251"/>
      <c r="X67" s="252"/>
      <c r="Y67" s="251"/>
      <c r="Z67" s="454"/>
      <c r="AA67" s="448"/>
    </row>
    <row r="68" spans="1:27" ht="15">
      <c r="A68" s="435">
        <f t="shared" ref="A68:A131" si="25">A67+1</f>
        <v>68</v>
      </c>
      <c r="B68" s="74"/>
      <c r="C68" s="75"/>
      <c r="D68" s="75"/>
      <c r="E68" s="53"/>
      <c r="F68" s="53"/>
      <c r="G68" s="48"/>
      <c r="H68" s="205"/>
      <c r="I68" s="76"/>
      <c r="J68" s="76"/>
      <c r="K68" s="76"/>
      <c r="L68" s="76"/>
      <c r="M68" s="76"/>
      <c r="N68" s="76"/>
      <c r="O68" s="76"/>
      <c r="P68" s="76"/>
      <c r="Q68" s="76"/>
      <c r="R68" s="76"/>
      <c r="S68" s="76"/>
      <c r="T68" s="76"/>
      <c r="U68" s="451"/>
      <c r="V68" s="453"/>
      <c r="W68" s="254"/>
      <c r="X68" s="76"/>
      <c r="Y68" s="254"/>
      <c r="Z68" s="332"/>
      <c r="AA68" s="240"/>
    </row>
    <row r="69" spans="1:27" ht="15">
      <c r="A69" s="435">
        <f t="shared" si="25"/>
        <v>69</v>
      </c>
      <c r="B69" s="74" t="s">
        <v>50</v>
      </c>
      <c r="C69" s="75"/>
      <c r="D69" s="75"/>
      <c r="E69" s="53"/>
      <c r="F69" s="53"/>
      <c r="G69" s="48"/>
      <c r="H69" s="205"/>
      <c r="I69" s="76"/>
      <c r="J69" s="76"/>
      <c r="K69" s="76"/>
      <c r="L69" s="76"/>
      <c r="M69" s="76"/>
      <c r="N69" s="76"/>
      <c r="O69" s="76"/>
      <c r="P69" s="76"/>
      <c r="Q69" s="76"/>
      <c r="R69" s="76"/>
      <c r="S69" s="76"/>
      <c r="T69" s="76"/>
      <c r="U69" s="99"/>
      <c r="V69" s="254"/>
      <c r="W69" s="254"/>
      <c r="X69" s="76"/>
      <c r="Y69" s="254"/>
      <c r="Z69" s="332"/>
      <c r="AA69" s="805"/>
    </row>
    <row r="70" spans="1:27" ht="30">
      <c r="A70" s="435">
        <f t="shared" si="25"/>
        <v>70</v>
      </c>
      <c r="B70" s="77"/>
      <c r="C70" s="100" t="s">
        <v>76</v>
      </c>
      <c r="D70" s="41"/>
      <c r="E70" s="53"/>
      <c r="F70" s="53"/>
      <c r="G70" s="48" t="s">
        <v>361</v>
      </c>
      <c r="H70" s="205"/>
      <c r="I70" s="76"/>
      <c r="J70" s="76"/>
      <c r="K70" s="76"/>
      <c r="L70" s="76"/>
      <c r="M70" s="76"/>
      <c r="N70" s="76"/>
      <c r="O70" s="76"/>
      <c r="P70" s="76"/>
      <c r="Q70" s="76"/>
      <c r="R70" s="76"/>
      <c r="S70" s="76"/>
      <c r="T70" s="76"/>
      <c r="U70" s="99"/>
      <c r="V70" s="76"/>
      <c r="W70" s="76"/>
      <c r="X70" s="76"/>
      <c r="Y70" s="255"/>
      <c r="Z70" s="99"/>
      <c r="AA70" s="240"/>
    </row>
    <row r="71" spans="1:27" ht="15">
      <c r="A71" s="435">
        <f t="shared" si="25"/>
        <v>71</v>
      </c>
      <c r="B71" s="77"/>
      <c r="C71" s="53"/>
      <c r="D71" s="45" t="s">
        <v>110</v>
      </c>
      <c r="E71" s="33"/>
      <c r="F71" s="33"/>
      <c r="G71" s="649">
        <f>(IF('3.) Staffing Plan'!G13&gt;0,'3.) Staffing Plan'!G13,'3.) Staffing Plan'!F13)+IF('3.) Staffing Plan'!I13&gt;0,'3.) Staffing Plan'!I13,'3.) Staffing Plan'!H13)+IF('3.) Staffing Plan'!K13&gt;0,'3.) Staffing Plan'!K13,'3.) Staffing Plan'!J13)+IF('3.) Staffing Plan'!M13&gt;0,'3.) Staffing Plan'!M13,'3.) Staffing Plan'!L13))/4</f>
        <v>0</v>
      </c>
      <c r="H71" s="205"/>
      <c r="I71" s="650"/>
      <c r="J71" s="617"/>
      <c r="K71" s="618"/>
      <c r="L71" s="652">
        <f t="shared" ref="L71:L76" si="26">IF(K$18&lt;&gt;0,J71-K71,0)</f>
        <v>0</v>
      </c>
      <c r="M71" s="617"/>
      <c r="N71" s="618"/>
      <c r="O71" s="652">
        <f t="shared" ref="O71:O76" si="27">IF(N$18&lt;&gt;0,M71-N71,0)</f>
        <v>0</v>
      </c>
      <c r="P71" s="617"/>
      <c r="Q71" s="618"/>
      <c r="R71" s="652">
        <f t="shared" ref="R71:R76" si="28">IF(Q$18&lt;&gt;0,P71-Q71,0)</f>
        <v>0</v>
      </c>
      <c r="S71" s="617"/>
      <c r="T71" s="618"/>
      <c r="U71" s="607">
        <f t="shared" ref="U71:U76" si="29">IF(T$18&lt;&gt;0,S71-T71,0)</f>
        <v>0</v>
      </c>
      <c r="V71" s="608">
        <f t="shared" ref="V71:V76" si="30">J71+M71+P71+S71</f>
        <v>0</v>
      </c>
      <c r="W71" s="609">
        <f t="shared" ref="W71:W76" si="31">SUM(IF(K$6&lt;&gt;0,K71,J71)+IF(N$6&lt;&gt;0,N71,M71)+IF(Q$6&lt;&gt;0,Q71,P71)+IF(T$6&lt;&gt;0,T71,S71))</f>
        <v>0</v>
      </c>
      <c r="X71" s="606">
        <f t="shared" ref="X71:X76" si="32">V71-W71</f>
        <v>0</v>
      </c>
      <c r="Y71" s="610">
        <f t="shared" ref="Y71:Y76" si="33">I71-V71</f>
        <v>0</v>
      </c>
      <c r="Z71" s="611">
        <f t="shared" ref="Z71:Z76" si="34">I71-W71</f>
        <v>0</v>
      </c>
      <c r="AA71" s="240"/>
    </row>
    <row r="72" spans="1:27" ht="15">
      <c r="A72" s="435">
        <f t="shared" si="25"/>
        <v>72</v>
      </c>
      <c r="B72" s="77"/>
      <c r="C72" s="53"/>
      <c r="D72" s="45" t="s">
        <v>111</v>
      </c>
      <c r="E72" s="33"/>
      <c r="F72" s="33"/>
      <c r="G72" s="649">
        <f>(IF('3.) Staffing Plan'!G14&gt;0,'3.) Staffing Plan'!G14,'3.) Staffing Plan'!F14)+IF('3.) Staffing Plan'!I14&gt;0,'3.) Staffing Plan'!I14,'3.) Staffing Plan'!H14)+IF('3.) Staffing Plan'!K14&gt;0,'3.) Staffing Plan'!K14,'3.) Staffing Plan'!J14)+IF('3.) Staffing Plan'!M14&gt;0,'3.) Staffing Plan'!M14,'3.) Staffing Plan'!L14))/4</f>
        <v>0</v>
      </c>
      <c r="H72" s="205"/>
      <c r="I72" s="650"/>
      <c r="J72" s="617"/>
      <c r="K72" s="618"/>
      <c r="L72" s="652">
        <f t="shared" si="26"/>
        <v>0</v>
      </c>
      <c r="M72" s="617"/>
      <c r="N72" s="618"/>
      <c r="O72" s="652">
        <f t="shared" si="27"/>
        <v>0</v>
      </c>
      <c r="P72" s="617"/>
      <c r="Q72" s="618"/>
      <c r="R72" s="652">
        <f t="shared" si="28"/>
        <v>0</v>
      </c>
      <c r="S72" s="617"/>
      <c r="T72" s="618"/>
      <c r="U72" s="607">
        <f t="shared" si="29"/>
        <v>0</v>
      </c>
      <c r="V72" s="608">
        <f t="shared" si="30"/>
        <v>0</v>
      </c>
      <c r="W72" s="609">
        <f t="shared" si="31"/>
        <v>0</v>
      </c>
      <c r="X72" s="606">
        <f t="shared" si="32"/>
        <v>0</v>
      </c>
      <c r="Y72" s="610">
        <f t="shared" si="33"/>
        <v>0</v>
      </c>
      <c r="Z72" s="611">
        <f t="shared" si="34"/>
        <v>0</v>
      </c>
      <c r="AA72" s="240"/>
    </row>
    <row r="73" spans="1:27" ht="15">
      <c r="A73" s="435">
        <f t="shared" si="25"/>
        <v>73</v>
      </c>
      <c r="B73" s="77"/>
      <c r="C73" s="53"/>
      <c r="D73" s="45" t="s">
        <v>112</v>
      </c>
      <c r="E73" s="33"/>
      <c r="F73" s="33"/>
      <c r="G73" s="649">
        <f>(IF('3.) Staffing Plan'!G15&gt;0,'3.) Staffing Plan'!G15,'3.) Staffing Plan'!F15)+IF('3.) Staffing Plan'!I15&gt;0,'3.) Staffing Plan'!I15,'3.) Staffing Plan'!H15)+IF('3.) Staffing Plan'!K15&gt;0,'3.) Staffing Plan'!K15,'3.) Staffing Plan'!J15)+IF('3.) Staffing Plan'!M15&gt;0,'3.) Staffing Plan'!M15,'3.) Staffing Plan'!L15))/4</f>
        <v>0</v>
      </c>
      <c r="H73" s="205"/>
      <c r="I73" s="650"/>
      <c r="J73" s="617"/>
      <c r="K73" s="618"/>
      <c r="L73" s="652">
        <f t="shared" si="26"/>
        <v>0</v>
      </c>
      <c r="M73" s="617"/>
      <c r="N73" s="618"/>
      <c r="O73" s="652">
        <f t="shared" si="27"/>
        <v>0</v>
      </c>
      <c r="P73" s="617"/>
      <c r="Q73" s="618"/>
      <c r="R73" s="652">
        <f t="shared" si="28"/>
        <v>0</v>
      </c>
      <c r="S73" s="617"/>
      <c r="T73" s="618"/>
      <c r="U73" s="607">
        <f t="shared" si="29"/>
        <v>0</v>
      </c>
      <c r="V73" s="608">
        <f t="shared" si="30"/>
        <v>0</v>
      </c>
      <c r="W73" s="609">
        <f t="shared" si="31"/>
        <v>0</v>
      </c>
      <c r="X73" s="606">
        <f t="shared" si="32"/>
        <v>0</v>
      </c>
      <c r="Y73" s="610">
        <f t="shared" si="33"/>
        <v>0</v>
      </c>
      <c r="Z73" s="611">
        <f t="shared" si="34"/>
        <v>0</v>
      </c>
      <c r="AA73" s="240"/>
    </row>
    <row r="74" spans="1:27" ht="15">
      <c r="A74" s="435">
        <f t="shared" si="25"/>
        <v>74</v>
      </c>
      <c r="B74" s="77"/>
      <c r="C74" s="53"/>
      <c r="D74" s="45" t="s">
        <v>98</v>
      </c>
      <c r="E74" s="33"/>
      <c r="F74" s="33"/>
      <c r="G74" s="649">
        <f>(IF('3.) Staffing Plan'!G16&gt;0,'3.) Staffing Plan'!G16,'3.) Staffing Plan'!F16)+IF('3.) Staffing Plan'!I16&gt;0,'3.) Staffing Plan'!I16,'3.) Staffing Plan'!H16)+IF('3.) Staffing Plan'!K16&gt;0,'3.) Staffing Plan'!K16,'3.) Staffing Plan'!J16)+IF('3.) Staffing Plan'!M16&gt;0,'3.) Staffing Plan'!M16,'3.) Staffing Plan'!L16))/4</f>
        <v>0</v>
      </c>
      <c r="H74" s="205"/>
      <c r="I74" s="650"/>
      <c r="J74" s="570"/>
      <c r="K74" s="618"/>
      <c r="L74" s="652">
        <f t="shared" si="26"/>
        <v>0</v>
      </c>
      <c r="M74" s="570"/>
      <c r="N74" s="618"/>
      <c r="O74" s="652">
        <f t="shared" si="27"/>
        <v>0</v>
      </c>
      <c r="P74" s="570"/>
      <c r="Q74" s="618"/>
      <c r="R74" s="652">
        <f t="shared" si="28"/>
        <v>0</v>
      </c>
      <c r="S74" s="570"/>
      <c r="T74" s="618"/>
      <c r="U74" s="607">
        <f t="shared" si="29"/>
        <v>0</v>
      </c>
      <c r="V74" s="608">
        <f t="shared" si="30"/>
        <v>0</v>
      </c>
      <c r="W74" s="609">
        <f t="shared" si="31"/>
        <v>0</v>
      </c>
      <c r="X74" s="606">
        <f t="shared" si="32"/>
        <v>0</v>
      </c>
      <c r="Y74" s="610">
        <f t="shared" si="33"/>
        <v>0</v>
      </c>
      <c r="Z74" s="611">
        <f t="shared" si="34"/>
        <v>0</v>
      </c>
      <c r="AA74" s="240"/>
    </row>
    <row r="75" spans="1:27" ht="15">
      <c r="A75" s="435">
        <f t="shared" si="25"/>
        <v>75</v>
      </c>
      <c r="B75" s="77"/>
      <c r="C75" s="53"/>
      <c r="D75" s="45" t="s">
        <v>99</v>
      </c>
      <c r="E75" s="33"/>
      <c r="F75" s="33"/>
      <c r="G75" s="649">
        <f>(IF('3.) Staffing Plan'!G17&gt;0,'3.) Staffing Plan'!G17,'3.) Staffing Plan'!F17)+IF('3.) Staffing Plan'!I17&gt;0,'3.) Staffing Plan'!I17,'3.) Staffing Plan'!H17)+IF('3.) Staffing Plan'!K17&gt;0,'3.) Staffing Plan'!K17,'3.) Staffing Plan'!J17)+IF('3.) Staffing Plan'!M17&gt;0,'3.) Staffing Plan'!M17,'3.) Staffing Plan'!L17))/4</f>
        <v>0</v>
      </c>
      <c r="H75" s="205"/>
      <c r="I75" s="650"/>
      <c r="J75" s="617"/>
      <c r="K75" s="618"/>
      <c r="L75" s="652">
        <f t="shared" si="26"/>
        <v>0</v>
      </c>
      <c r="M75" s="617"/>
      <c r="N75" s="618"/>
      <c r="O75" s="652">
        <f t="shared" si="27"/>
        <v>0</v>
      </c>
      <c r="P75" s="617"/>
      <c r="Q75" s="618"/>
      <c r="R75" s="652">
        <f t="shared" si="28"/>
        <v>0</v>
      </c>
      <c r="S75" s="617"/>
      <c r="T75" s="618"/>
      <c r="U75" s="607">
        <f t="shared" si="29"/>
        <v>0</v>
      </c>
      <c r="V75" s="608">
        <f t="shared" si="30"/>
        <v>0</v>
      </c>
      <c r="W75" s="609">
        <f t="shared" si="31"/>
        <v>0</v>
      </c>
      <c r="X75" s="606">
        <f t="shared" si="32"/>
        <v>0</v>
      </c>
      <c r="Y75" s="610">
        <f t="shared" si="33"/>
        <v>0</v>
      </c>
      <c r="Z75" s="611">
        <f t="shared" si="34"/>
        <v>0</v>
      </c>
      <c r="AA75" s="240"/>
    </row>
    <row r="76" spans="1:27" ht="17.25">
      <c r="A76" s="435">
        <f t="shared" si="25"/>
        <v>76</v>
      </c>
      <c r="B76" s="77"/>
      <c r="C76" s="53"/>
      <c r="D76" s="45" t="s">
        <v>113</v>
      </c>
      <c r="E76" s="33"/>
      <c r="F76" s="33"/>
      <c r="G76" s="653">
        <f>(IF('3.) Staffing Plan'!G18&gt;0,'3.) Staffing Plan'!G18,'3.) Staffing Plan'!F18)+IF('3.) Staffing Plan'!I18&gt;0,'3.) Staffing Plan'!I18,'3.) Staffing Plan'!H18)+IF('3.) Staffing Plan'!K18&gt;0,'3.) Staffing Plan'!K18,'3.) Staffing Plan'!J18)+IF('3.) Staffing Plan'!M18&gt;0,'3.) Staffing Plan'!M18,'3.) Staffing Plan'!L18))/4</f>
        <v>0</v>
      </c>
      <c r="H76" s="205"/>
      <c r="I76" s="623"/>
      <c r="J76" s="624"/>
      <c r="K76" s="625"/>
      <c r="L76" s="654">
        <f t="shared" si="26"/>
        <v>0</v>
      </c>
      <c r="M76" s="624"/>
      <c r="N76" s="625"/>
      <c r="O76" s="654">
        <f t="shared" si="27"/>
        <v>0</v>
      </c>
      <c r="P76" s="624"/>
      <c r="Q76" s="625"/>
      <c r="R76" s="654">
        <f t="shared" si="28"/>
        <v>0</v>
      </c>
      <c r="S76" s="624"/>
      <c r="T76" s="625"/>
      <c r="U76" s="629">
        <f t="shared" si="29"/>
        <v>0</v>
      </c>
      <c r="V76" s="630">
        <f t="shared" si="30"/>
        <v>0</v>
      </c>
      <c r="W76" s="631">
        <f t="shared" si="31"/>
        <v>0</v>
      </c>
      <c r="X76" s="626">
        <f t="shared" si="32"/>
        <v>0</v>
      </c>
      <c r="Y76" s="632">
        <f t="shared" si="33"/>
        <v>0</v>
      </c>
      <c r="Z76" s="633">
        <f t="shared" si="34"/>
        <v>0</v>
      </c>
      <c r="AA76" s="240"/>
    </row>
    <row r="77" spans="1:27" ht="15">
      <c r="A77" s="435">
        <f t="shared" si="25"/>
        <v>77</v>
      </c>
      <c r="B77" s="77"/>
      <c r="C77" s="46" t="s">
        <v>75</v>
      </c>
      <c r="D77" s="53"/>
      <c r="E77" s="33"/>
      <c r="F77" s="33"/>
      <c r="G77" s="649">
        <f>SUM(G71:G76)</f>
        <v>0</v>
      </c>
      <c r="H77" s="205"/>
      <c r="I77" s="655">
        <f t="shared" ref="I77:Z77" si="35">SUM(I71:I76)</f>
        <v>0</v>
      </c>
      <c r="J77" s="573">
        <f t="shared" si="35"/>
        <v>0</v>
      </c>
      <c r="K77" s="656">
        <f t="shared" si="35"/>
        <v>0</v>
      </c>
      <c r="L77" s="657">
        <f t="shared" si="35"/>
        <v>0</v>
      </c>
      <c r="M77" s="573">
        <f t="shared" si="35"/>
        <v>0</v>
      </c>
      <c r="N77" s="656">
        <f t="shared" si="35"/>
        <v>0</v>
      </c>
      <c r="O77" s="657">
        <f t="shared" si="35"/>
        <v>0</v>
      </c>
      <c r="P77" s="573">
        <f t="shared" si="35"/>
        <v>0</v>
      </c>
      <c r="Q77" s="656">
        <f t="shared" si="35"/>
        <v>0</v>
      </c>
      <c r="R77" s="657">
        <f t="shared" si="35"/>
        <v>0</v>
      </c>
      <c r="S77" s="573">
        <f t="shared" si="35"/>
        <v>0</v>
      </c>
      <c r="T77" s="656">
        <f t="shared" si="35"/>
        <v>0</v>
      </c>
      <c r="U77" s="658">
        <f t="shared" si="35"/>
        <v>0</v>
      </c>
      <c r="V77" s="659">
        <f t="shared" si="35"/>
        <v>0</v>
      </c>
      <c r="W77" s="656">
        <f t="shared" si="35"/>
        <v>0</v>
      </c>
      <c r="X77" s="660">
        <f t="shared" si="35"/>
        <v>0</v>
      </c>
      <c r="Y77" s="655">
        <f t="shared" si="35"/>
        <v>0</v>
      </c>
      <c r="Z77" s="661">
        <f t="shared" si="35"/>
        <v>0</v>
      </c>
      <c r="AA77" s="240"/>
    </row>
    <row r="78" spans="1:27" ht="15">
      <c r="A78" s="435">
        <f t="shared" si="25"/>
        <v>78</v>
      </c>
      <c r="B78" s="77"/>
      <c r="C78" s="53"/>
      <c r="D78" s="33"/>
      <c r="E78" s="33"/>
      <c r="F78" s="33"/>
      <c r="G78" s="257"/>
      <c r="H78" s="205"/>
      <c r="I78" s="76"/>
      <c r="J78" s="76"/>
      <c r="K78" s="76"/>
      <c r="L78" s="76"/>
      <c r="M78" s="76"/>
      <c r="N78" s="76"/>
      <c r="O78" s="76"/>
      <c r="P78" s="76"/>
      <c r="Q78" s="76"/>
      <c r="R78" s="76"/>
      <c r="S78" s="76"/>
      <c r="T78" s="76"/>
      <c r="U78" s="99"/>
      <c r="V78" s="76"/>
      <c r="W78" s="76"/>
      <c r="X78" s="76"/>
      <c r="Y78" s="76"/>
      <c r="Z78" s="99"/>
      <c r="AA78" s="240"/>
    </row>
    <row r="79" spans="1:27" ht="15">
      <c r="A79" s="435">
        <f t="shared" si="25"/>
        <v>79</v>
      </c>
      <c r="B79" s="77"/>
      <c r="C79" s="100" t="s">
        <v>77</v>
      </c>
      <c r="D79" s="41"/>
      <c r="E79" s="53"/>
      <c r="F79" s="53"/>
      <c r="G79" s="258"/>
      <c r="H79" s="205"/>
      <c r="I79" s="76"/>
      <c r="J79" s="76"/>
      <c r="K79" s="76"/>
      <c r="L79" s="76"/>
      <c r="M79" s="76"/>
      <c r="N79" s="76"/>
      <c r="O79" s="76"/>
      <c r="P79" s="76"/>
      <c r="Q79" s="76"/>
      <c r="R79" s="76"/>
      <c r="S79" s="76"/>
      <c r="T79" s="76"/>
      <c r="U79" s="99"/>
      <c r="V79" s="76"/>
      <c r="W79" s="76"/>
      <c r="X79" s="76"/>
      <c r="Y79" s="76"/>
      <c r="Z79" s="99"/>
      <c r="AA79" s="240"/>
    </row>
    <row r="80" spans="1:27" ht="15">
      <c r="A80" s="435">
        <f t="shared" si="25"/>
        <v>80</v>
      </c>
      <c r="B80" s="77"/>
      <c r="C80" s="53"/>
      <c r="D80" s="45" t="s">
        <v>51</v>
      </c>
      <c r="E80" s="33"/>
      <c r="F80" s="33"/>
      <c r="G80" s="649">
        <f>(IF('3.) Staffing Plan'!G24&gt;0,'3.) Staffing Plan'!G24,'3.) Staffing Plan'!F24)+IF('3.) Staffing Plan'!I24&gt;0,'3.) Staffing Plan'!I24,'3.) Staffing Plan'!H24)+IF('3.) Staffing Plan'!K24&gt;0,'3.) Staffing Plan'!K24,'3.) Staffing Plan'!J24)+IF('3.) Staffing Plan'!M24&gt;0,'3.) Staffing Plan'!M24,'3.) Staffing Plan'!L24))/4</f>
        <v>0</v>
      </c>
      <c r="H80" s="459"/>
      <c r="I80" s="612"/>
      <c r="J80" s="617"/>
      <c r="K80" s="618"/>
      <c r="L80" s="606">
        <f t="shared" ref="L80:L87" si="36">IF(K$18&lt;&gt;0,J80-K80,0)</f>
        <v>0</v>
      </c>
      <c r="M80" s="617"/>
      <c r="N80" s="618"/>
      <c r="O80" s="606">
        <f t="shared" ref="O80:O87" si="37">IF(N$18&lt;&gt;0,M80-N80,0)</f>
        <v>0</v>
      </c>
      <c r="P80" s="617"/>
      <c r="Q80" s="618"/>
      <c r="R80" s="606">
        <f t="shared" ref="R80:R87" si="38">IF(Q$18&lt;&gt;0,P80-Q80,0)</f>
        <v>0</v>
      </c>
      <c r="S80" s="617"/>
      <c r="T80" s="618"/>
      <c r="U80" s="607">
        <f t="shared" ref="U80:U87" si="39">IF(T$18&lt;&gt;0,S80-T80,0)</f>
        <v>0</v>
      </c>
      <c r="V80" s="608">
        <f t="shared" ref="V80:V87" si="40">J80+M80+P80+S80</f>
        <v>0</v>
      </c>
      <c r="W80" s="609">
        <f t="shared" ref="W80:W87" si="41">SUM(IF(K$6&lt;&gt;0,K80,J80)+IF(N$6&lt;&gt;0,N80,M80)+IF(Q$6&lt;&gt;0,Q80,P80)+IF(T$6&lt;&gt;0,T80,S80))</f>
        <v>0</v>
      </c>
      <c r="X80" s="606">
        <f t="shared" ref="X80:X87" si="42">V80-W80</f>
        <v>0</v>
      </c>
      <c r="Y80" s="610">
        <f t="shared" ref="Y80:Y87" si="43">I80-V80</f>
        <v>0</v>
      </c>
      <c r="Z80" s="611">
        <f t="shared" ref="Z80:Z87" si="44">I80-W80</f>
        <v>0</v>
      </c>
      <c r="AA80" s="240"/>
    </row>
    <row r="81" spans="1:27" ht="15">
      <c r="A81" s="435">
        <f t="shared" si="25"/>
        <v>81</v>
      </c>
      <c r="B81" s="77"/>
      <c r="C81" s="53"/>
      <c r="D81" s="45" t="s">
        <v>52</v>
      </c>
      <c r="E81" s="33"/>
      <c r="F81" s="33"/>
      <c r="G81" s="649">
        <f>(IF('3.) Staffing Plan'!G25&gt;0,'3.) Staffing Plan'!G25,'3.) Staffing Plan'!F25)+IF('3.) Staffing Plan'!I25&gt;0,'3.) Staffing Plan'!I25,'3.) Staffing Plan'!H25)+IF('3.) Staffing Plan'!K25&gt;0,'3.) Staffing Plan'!K25,'3.) Staffing Plan'!J25)+IF('3.) Staffing Plan'!M25&gt;0,'3.) Staffing Plan'!M25,'3.) Staffing Plan'!L25))/4</f>
        <v>0</v>
      </c>
      <c r="H81" s="459"/>
      <c r="I81" s="612"/>
      <c r="J81" s="617"/>
      <c r="K81" s="618"/>
      <c r="L81" s="606">
        <f t="shared" si="36"/>
        <v>0</v>
      </c>
      <c r="M81" s="617"/>
      <c r="N81" s="618"/>
      <c r="O81" s="606">
        <f t="shared" si="37"/>
        <v>0</v>
      </c>
      <c r="P81" s="617"/>
      <c r="Q81" s="618"/>
      <c r="R81" s="606">
        <f t="shared" si="38"/>
        <v>0</v>
      </c>
      <c r="S81" s="617"/>
      <c r="T81" s="618"/>
      <c r="U81" s="607">
        <f t="shared" si="39"/>
        <v>0</v>
      </c>
      <c r="V81" s="608">
        <f t="shared" si="40"/>
        <v>0</v>
      </c>
      <c r="W81" s="609">
        <f t="shared" si="41"/>
        <v>0</v>
      </c>
      <c r="X81" s="606">
        <f t="shared" si="42"/>
        <v>0</v>
      </c>
      <c r="Y81" s="610">
        <f t="shared" si="43"/>
        <v>0</v>
      </c>
      <c r="Z81" s="611">
        <f t="shared" si="44"/>
        <v>0</v>
      </c>
      <c r="AA81" s="240"/>
    </row>
    <row r="82" spans="1:27" ht="15">
      <c r="A82" s="435">
        <f t="shared" si="25"/>
        <v>82</v>
      </c>
      <c r="B82" s="77"/>
      <c r="C82" s="53"/>
      <c r="D82" s="45" t="s">
        <v>10</v>
      </c>
      <c r="E82" s="33"/>
      <c r="F82" s="33"/>
      <c r="G82" s="649">
        <f>(IF('3.) Staffing Plan'!G26&gt;0,'3.) Staffing Plan'!G26,'3.) Staffing Plan'!F26)+IF('3.) Staffing Plan'!I26&gt;0,'3.) Staffing Plan'!I26,'3.) Staffing Plan'!H26)+IF('3.) Staffing Plan'!K26&gt;0,'3.) Staffing Plan'!K26,'3.) Staffing Plan'!J26)+IF('3.) Staffing Plan'!M26&gt;0,'3.) Staffing Plan'!M26,'3.) Staffing Plan'!L26))/4</f>
        <v>0</v>
      </c>
      <c r="H82" s="459"/>
      <c r="I82" s="612"/>
      <c r="J82" s="617"/>
      <c r="K82" s="618"/>
      <c r="L82" s="606">
        <f t="shared" si="36"/>
        <v>0</v>
      </c>
      <c r="M82" s="617"/>
      <c r="N82" s="618"/>
      <c r="O82" s="606">
        <f t="shared" si="37"/>
        <v>0</v>
      </c>
      <c r="P82" s="617"/>
      <c r="Q82" s="618"/>
      <c r="R82" s="606">
        <f t="shared" si="38"/>
        <v>0</v>
      </c>
      <c r="S82" s="617"/>
      <c r="T82" s="618"/>
      <c r="U82" s="607">
        <f t="shared" si="39"/>
        <v>0</v>
      </c>
      <c r="V82" s="608">
        <f t="shared" si="40"/>
        <v>0</v>
      </c>
      <c r="W82" s="609">
        <f t="shared" si="41"/>
        <v>0</v>
      </c>
      <c r="X82" s="606">
        <f t="shared" si="42"/>
        <v>0</v>
      </c>
      <c r="Y82" s="610">
        <f t="shared" si="43"/>
        <v>0</v>
      </c>
      <c r="Z82" s="611">
        <f t="shared" si="44"/>
        <v>0</v>
      </c>
      <c r="AA82" s="240"/>
    </row>
    <row r="83" spans="1:27" ht="15">
      <c r="A83" s="435">
        <f t="shared" si="25"/>
        <v>83</v>
      </c>
      <c r="B83" s="77"/>
      <c r="C83" s="53"/>
      <c r="D83" s="45" t="s">
        <v>11</v>
      </c>
      <c r="E83" s="33"/>
      <c r="F83" s="33"/>
      <c r="G83" s="649">
        <f>(IF('3.) Staffing Plan'!G27&gt;0,'3.) Staffing Plan'!G27,'3.) Staffing Plan'!F27)+IF('3.) Staffing Plan'!I27&gt;0,'3.) Staffing Plan'!I27,'3.) Staffing Plan'!H27)+IF('3.) Staffing Plan'!K27&gt;0,'3.) Staffing Plan'!K27,'3.) Staffing Plan'!J27)+IF('3.) Staffing Plan'!M27&gt;0,'3.) Staffing Plan'!M27,'3.) Staffing Plan'!L27))/4</f>
        <v>0</v>
      </c>
      <c r="H83" s="459"/>
      <c r="I83" s="612"/>
      <c r="J83" s="617"/>
      <c r="K83" s="618"/>
      <c r="L83" s="606">
        <f t="shared" si="36"/>
        <v>0</v>
      </c>
      <c r="M83" s="617"/>
      <c r="N83" s="618"/>
      <c r="O83" s="606">
        <f t="shared" si="37"/>
        <v>0</v>
      </c>
      <c r="P83" s="617"/>
      <c r="Q83" s="618"/>
      <c r="R83" s="606">
        <f t="shared" si="38"/>
        <v>0</v>
      </c>
      <c r="S83" s="617"/>
      <c r="T83" s="618"/>
      <c r="U83" s="607">
        <f t="shared" si="39"/>
        <v>0</v>
      </c>
      <c r="V83" s="608">
        <f t="shared" si="40"/>
        <v>0</v>
      </c>
      <c r="W83" s="609">
        <f t="shared" si="41"/>
        <v>0</v>
      </c>
      <c r="X83" s="606">
        <f t="shared" si="42"/>
        <v>0</v>
      </c>
      <c r="Y83" s="610">
        <f t="shared" si="43"/>
        <v>0</v>
      </c>
      <c r="Z83" s="611">
        <f t="shared" si="44"/>
        <v>0</v>
      </c>
      <c r="AA83" s="240"/>
    </row>
    <row r="84" spans="1:27" ht="15">
      <c r="A84" s="435">
        <f t="shared" si="25"/>
        <v>84</v>
      </c>
      <c r="B84" s="77"/>
      <c r="C84" s="53"/>
      <c r="D84" s="45" t="s">
        <v>12</v>
      </c>
      <c r="E84" s="33"/>
      <c r="F84" s="33"/>
      <c r="G84" s="649">
        <f>(IF('3.) Staffing Plan'!G28&gt;0,'3.) Staffing Plan'!G28,'3.) Staffing Plan'!F28)+IF('3.) Staffing Plan'!I28&gt;0,'3.) Staffing Plan'!I28,'3.) Staffing Plan'!H28)+IF('3.) Staffing Plan'!K28&gt;0,'3.) Staffing Plan'!K28,'3.) Staffing Plan'!J28)+IF('3.) Staffing Plan'!M28&gt;0,'3.) Staffing Plan'!M28,'3.) Staffing Plan'!L28))/4</f>
        <v>0</v>
      </c>
      <c r="H84" s="459"/>
      <c r="I84" s="612"/>
      <c r="J84" s="617"/>
      <c r="K84" s="618"/>
      <c r="L84" s="606">
        <f t="shared" si="36"/>
        <v>0</v>
      </c>
      <c r="M84" s="617"/>
      <c r="N84" s="618"/>
      <c r="O84" s="606">
        <f t="shared" si="37"/>
        <v>0</v>
      </c>
      <c r="P84" s="617"/>
      <c r="Q84" s="618"/>
      <c r="R84" s="606">
        <f t="shared" si="38"/>
        <v>0</v>
      </c>
      <c r="S84" s="617"/>
      <c r="T84" s="618"/>
      <c r="U84" s="607">
        <f t="shared" si="39"/>
        <v>0</v>
      </c>
      <c r="V84" s="608">
        <f t="shared" si="40"/>
        <v>0</v>
      </c>
      <c r="W84" s="609">
        <f t="shared" si="41"/>
        <v>0</v>
      </c>
      <c r="X84" s="606">
        <f t="shared" si="42"/>
        <v>0</v>
      </c>
      <c r="Y84" s="610">
        <f t="shared" si="43"/>
        <v>0</v>
      </c>
      <c r="Z84" s="611">
        <f t="shared" si="44"/>
        <v>0</v>
      </c>
      <c r="AA84" s="240"/>
    </row>
    <row r="85" spans="1:27" ht="15">
      <c r="A85" s="435">
        <f t="shared" si="25"/>
        <v>85</v>
      </c>
      <c r="B85" s="77"/>
      <c r="C85" s="53"/>
      <c r="D85" s="45" t="s">
        <v>13</v>
      </c>
      <c r="E85" s="33"/>
      <c r="F85" s="33"/>
      <c r="G85" s="649">
        <f>(IF('3.) Staffing Plan'!G29&gt;0,'3.) Staffing Plan'!G29,'3.) Staffing Plan'!F29)+IF('3.) Staffing Plan'!I29&gt;0,'3.) Staffing Plan'!I29,'3.) Staffing Plan'!H29)+IF('3.) Staffing Plan'!K29&gt;0,'3.) Staffing Plan'!K29,'3.) Staffing Plan'!J29)+IF('3.) Staffing Plan'!M29&gt;0,'3.) Staffing Plan'!M29,'3.) Staffing Plan'!L29))/4</f>
        <v>0</v>
      </c>
      <c r="H85" s="459"/>
      <c r="I85" s="612"/>
      <c r="J85" s="570"/>
      <c r="K85" s="618"/>
      <c r="L85" s="606">
        <f t="shared" si="36"/>
        <v>0</v>
      </c>
      <c r="M85" s="570"/>
      <c r="N85" s="618"/>
      <c r="O85" s="606">
        <f t="shared" si="37"/>
        <v>0</v>
      </c>
      <c r="P85" s="570"/>
      <c r="Q85" s="618"/>
      <c r="R85" s="606">
        <f t="shared" si="38"/>
        <v>0</v>
      </c>
      <c r="S85" s="570"/>
      <c r="T85" s="618"/>
      <c r="U85" s="607">
        <f t="shared" si="39"/>
        <v>0</v>
      </c>
      <c r="V85" s="608">
        <f t="shared" si="40"/>
        <v>0</v>
      </c>
      <c r="W85" s="609">
        <f t="shared" si="41"/>
        <v>0</v>
      </c>
      <c r="X85" s="606">
        <f t="shared" si="42"/>
        <v>0</v>
      </c>
      <c r="Y85" s="610">
        <f t="shared" si="43"/>
        <v>0</v>
      </c>
      <c r="Z85" s="611">
        <f t="shared" si="44"/>
        <v>0</v>
      </c>
      <c r="AA85" s="240"/>
    </row>
    <row r="86" spans="1:27" ht="15">
      <c r="A86" s="435">
        <f t="shared" si="25"/>
        <v>86</v>
      </c>
      <c r="B86" s="77"/>
      <c r="C86" s="53"/>
      <c r="D86" s="45" t="s">
        <v>73</v>
      </c>
      <c r="E86" s="33"/>
      <c r="F86" s="33"/>
      <c r="G86" s="649">
        <f>(IF('3.) Staffing Plan'!G30&gt;0,'3.) Staffing Plan'!G30,'3.) Staffing Plan'!F30)+IF('3.) Staffing Plan'!I30&gt;0,'3.) Staffing Plan'!I30,'3.) Staffing Plan'!H30)+IF('3.) Staffing Plan'!K30&gt;0,'3.) Staffing Plan'!K30,'3.) Staffing Plan'!J30)+IF('3.) Staffing Plan'!M30&gt;0,'3.) Staffing Plan'!M30,'3.) Staffing Plan'!L30))/4</f>
        <v>0</v>
      </c>
      <c r="H86" s="459"/>
      <c r="I86" s="612"/>
      <c r="J86" s="617"/>
      <c r="K86" s="618"/>
      <c r="L86" s="606">
        <f t="shared" si="36"/>
        <v>0</v>
      </c>
      <c r="M86" s="617"/>
      <c r="N86" s="618"/>
      <c r="O86" s="606">
        <f t="shared" si="37"/>
        <v>0</v>
      </c>
      <c r="P86" s="617"/>
      <c r="Q86" s="618"/>
      <c r="R86" s="606">
        <f t="shared" si="38"/>
        <v>0</v>
      </c>
      <c r="S86" s="617"/>
      <c r="T86" s="618"/>
      <c r="U86" s="607">
        <f t="shared" si="39"/>
        <v>0</v>
      </c>
      <c r="V86" s="608">
        <f t="shared" si="40"/>
        <v>0</v>
      </c>
      <c r="W86" s="609">
        <f t="shared" si="41"/>
        <v>0</v>
      </c>
      <c r="X86" s="606">
        <f t="shared" si="42"/>
        <v>0</v>
      </c>
      <c r="Y86" s="610">
        <f t="shared" si="43"/>
        <v>0</v>
      </c>
      <c r="Z86" s="611">
        <f t="shared" si="44"/>
        <v>0</v>
      </c>
      <c r="AA86" s="240"/>
    </row>
    <row r="87" spans="1:27" ht="17.25">
      <c r="A87" s="435">
        <f t="shared" si="25"/>
        <v>87</v>
      </c>
      <c r="B87" s="77"/>
      <c r="C87" s="53"/>
      <c r="D87" s="46" t="s">
        <v>29</v>
      </c>
      <c r="E87" s="33"/>
      <c r="F87" s="33"/>
      <c r="G87" s="653">
        <f>(IF('3.) Staffing Plan'!G31&gt;0,'3.) Staffing Plan'!G31,'3.) Staffing Plan'!F31)+IF('3.) Staffing Plan'!I31&gt;0,'3.) Staffing Plan'!I31,'3.) Staffing Plan'!H31)+IF('3.) Staffing Plan'!K31&gt;0,'3.) Staffing Plan'!K31,'3.) Staffing Plan'!J31)+IF('3.) Staffing Plan'!M31&gt;0,'3.) Staffing Plan'!M31,'3.) Staffing Plan'!L31))/4</f>
        <v>0</v>
      </c>
      <c r="H87" s="459"/>
      <c r="I87" s="623"/>
      <c r="J87" s="624"/>
      <c r="K87" s="625"/>
      <c r="L87" s="626">
        <f t="shared" si="36"/>
        <v>0</v>
      </c>
      <c r="M87" s="624"/>
      <c r="N87" s="625"/>
      <c r="O87" s="626">
        <f t="shared" si="37"/>
        <v>0</v>
      </c>
      <c r="P87" s="624"/>
      <c r="Q87" s="625"/>
      <c r="R87" s="626">
        <f t="shared" si="38"/>
        <v>0</v>
      </c>
      <c r="S87" s="624"/>
      <c r="T87" s="625"/>
      <c r="U87" s="629">
        <f t="shared" si="39"/>
        <v>0</v>
      </c>
      <c r="V87" s="630">
        <f t="shared" si="40"/>
        <v>0</v>
      </c>
      <c r="W87" s="631">
        <f t="shared" si="41"/>
        <v>0</v>
      </c>
      <c r="X87" s="626">
        <f t="shared" si="42"/>
        <v>0</v>
      </c>
      <c r="Y87" s="632">
        <f t="shared" si="43"/>
        <v>0</v>
      </c>
      <c r="Z87" s="633">
        <f t="shared" si="44"/>
        <v>0</v>
      </c>
      <c r="AA87" s="240"/>
    </row>
    <row r="88" spans="1:27" ht="15">
      <c r="A88" s="435">
        <f t="shared" si="25"/>
        <v>88</v>
      </c>
      <c r="B88" s="77"/>
      <c r="C88" s="46" t="s">
        <v>78</v>
      </c>
      <c r="D88" s="53"/>
      <c r="E88" s="33"/>
      <c r="F88" s="33"/>
      <c r="G88" s="649">
        <f>SUM(G80:G87)</f>
        <v>0</v>
      </c>
      <c r="H88" s="459"/>
      <c r="I88" s="662">
        <f t="shared" ref="I88:Z88" si="45">SUM(I80:I87)</f>
        <v>0</v>
      </c>
      <c r="J88" s="663">
        <f t="shared" si="45"/>
        <v>0</v>
      </c>
      <c r="K88" s="656">
        <f t="shared" si="45"/>
        <v>0</v>
      </c>
      <c r="L88" s="656">
        <f t="shared" si="45"/>
        <v>0</v>
      </c>
      <c r="M88" s="663">
        <f t="shared" si="45"/>
        <v>0</v>
      </c>
      <c r="N88" s="656">
        <f t="shared" si="45"/>
        <v>0</v>
      </c>
      <c r="O88" s="656">
        <f t="shared" si="45"/>
        <v>0</v>
      </c>
      <c r="P88" s="663">
        <f t="shared" si="45"/>
        <v>0</v>
      </c>
      <c r="Q88" s="656">
        <f t="shared" si="45"/>
        <v>0</v>
      </c>
      <c r="R88" s="656">
        <f t="shared" si="45"/>
        <v>0</v>
      </c>
      <c r="S88" s="663">
        <f t="shared" si="45"/>
        <v>0</v>
      </c>
      <c r="T88" s="656">
        <f t="shared" si="45"/>
        <v>0</v>
      </c>
      <c r="U88" s="658">
        <f t="shared" si="45"/>
        <v>0</v>
      </c>
      <c r="V88" s="659">
        <f t="shared" si="45"/>
        <v>0</v>
      </c>
      <c r="W88" s="656">
        <f t="shared" si="45"/>
        <v>0</v>
      </c>
      <c r="X88" s="660">
        <f t="shared" si="45"/>
        <v>0</v>
      </c>
      <c r="Y88" s="655">
        <f t="shared" si="45"/>
        <v>0</v>
      </c>
      <c r="Z88" s="661">
        <f t="shared" si="45"/>
        <v>0</v>
      </c>
      <c r="AA88" s="240"/>
    </row>
    <row r="89" spans="1:27" ht="15">
      <c r="A89" s="435">
        <f t="shared" si="25"/>
        <v>89</v>
      </c>
      <c r="B89" s="77"/>
      <c r="C89" s="53"/>
      <c r="D89" s="33"/>
      <c r="E89" s="33"/>
      <c r="F89" s="33"/>
      <c r="G89" s="257"/>
      <c r="H89" s="205"/>
      <c r="I89" s="76"/>
      <c r="J89" s="76"/>
      <c r="K89" s="76"/>
      <c r="L89" s="76"/>
      <c r="M89" s="76"/>
      <c r="N89" s="76"/>
      <c r="O89" s="76"/>
      <c r="P89" s="76"/>
      <c r="Q89" s="76"/>
      <c r="R89" s="76"/>
      <c r="S89" s="76"/>
      <c r="T89" s="76"/>
      <c r="U89" s="99"/>
      <c r="V89" s="76"/>
      <c r="W89" s="76"/>
      <c r="X89" s="76"/>
      <c r="Y89" s="76"/>
      <c r="Z89" s="99"/>
      <c r="AA89" s="240"/>
    </row>
    <row r="90" spans="1:27" ht="15">
      <c r="A90" s="435">
        <f t="shared" si="25"/>
        <v>90</v>
      </c>
      <c r="B90" s="77"/>
      <c r="C90" s="100" t="s">
        <v>79</v>
      </c>
      <c r="D90" s="41"/>
      <c r="E90" s="53"/>
      <c r="F90" s="53"/>
      <c r="G90" s="260"/>
      <c r="H90" s="205"/>
      <c r="I90" s="76"/>
      <c r="J90" s="76"/>
      <c r="K90" s="76"/>
      <c r="L90" s="76"/>
      <c r="M90" s="76"/>
      <c r="N90" s="76"/>
      <c r="O90" s="76"/>
      <c r="P90" s="76"/>
      <c r="Q90" s="76"/>
      <c r="R90" s="76"/>
      <c r="S90" s="76"/>
      <c r="T90" s="76"/>
      <c r="U90" s="99"/>
      <c r="V90" s="76"/>
      <c r="W90" s="76"/>
      <c r="X90" s="76"/>
      <c r="Y90" s="76"/>
      <c r="Z90" s="99"/>
      <c r="AA90" s="240"/>
    </row>
    <row r="91" spans="1:27" ht="15">
      <c r="A91" s="435">
        <f t="shared" si="25"/>
        <v>91</v>
      </c>
      <c r="B91" s="77"/>
      <c r="C91" s="53"/>
      <c r="D91" s="45" t="s">
        <v>100</v>
      </c>
      <c r="E91" s="33"/>
      <c r="F91" s="33"/>
      <c r="G91" s="649">
        <f>(IF('3.) Staffing Plan'!G37&gt;0,'3.) Staffing Plan'!G37,'3.) Staffing Plan'!F37)+IF('3.) Staffing Plan'!I37&gt;0,'3.) Staffing Plan'!I37,'3.) Staffing Plan'!H37)+IF('3.) Staffing Plan'!K37&gt;0,'3.) Staffing Plan'!K37,'3.) Staffing Plan'!J37)+IF('3.) Staffing Plan'!M37&gt;0,'3.) Staffing Plan'!M37,'3.) Staffing Plan'!L37))/4</f>
        <v>0</v>
      </c>
      <c r="H91" s="205"/>
      <c r="I91" s="612"/>
      <c r="J91" s="617"/>
      <c r="K91" s="618"/>
      <c r="L91" s="606">
        <f>IF(K$18&lt;&gt;0,J91-K91,0)</f>
        <v>0</v>
      </c>
      <c r="M91" s="617"/>
      <c r="N91" s="618"/>
      <c r="O91" s="606">
        <f>IF(N$18&lt;&gt;0,M91-N91,0)</f>
        <v>0</v>
      </c>
      <c r="P91" s="617"/>
      <c r="Q91" s="618"/>
      <c r="R91" s="606">
        <f>IF(Q$18&lt;&gt;0,P91-Q91,0)</f>
        <v>0</v>
      </c>
      <c r="S91" s="617"/>
      <c r="T91" s="618"/>
      <c r="U91" s="607">
        <f>IF(T$18&lt;&gt;0,S91-T91,0)</f>
        <v>0</v>
      </c>
      <c r="V91" s="608">
        <f>J91+M91+P91+S91</f>
        <v>0</v>
      </c>
      <c r="W91" s="609">
        <f>SUM(IF(K$6&lt;&gt;0,K91,J91)+IF(N$6&lt;&gt;0,N91,M91)+IF(Q$6&lt;&gt;0,Q91,P91)+IF(T$6&lt;&gt;0,T91,S91))</f>
        <v>0</v>
      </c>
      <c r="X91" s="606">
        <f>V91-W91</f>
        <v>0</v>
      </c>
      <c r="Y91" s="610">
        <f>I91-V91</f>
        <v>0</v>
      </c>
      <c r="Z91" s="611">
        <f>I91-W91</f>
        <v>0</v>
      </c>
      <c r="AA91" s="240"/>
    </row>
    <row r="92" spans="1:27" ht="15">
      <c r="A92" s="435">
        <f t="shared" si="25"/>
        <v>92</v>
      </c>
      <c r="B92" s="77"/>
      <c r="C92" s="53"/>
      <c r="D92" s="45" t="s">
        <v>101</v>
      </c>
      <c r="E92" s="33"/>
      <c r="F92" s="33"/>
      <c r="G92" s="649">
        <f>(IF('3.) Staffing Plan'!G38&gt;0,'3.) Staffing Plan'!G38,'3.) Staffing Plan'!F38)+IF('3.) Staffing Plan'!I38&gt;0,'3.) Staffing Plan'!I38,'3.) Staffing Plan'!H38)+IF('3.) Staffing Plan'!K38&gt;0,'3.) Staffing Plan'!K38,'3.) Staffing Plan'!J38)+IF('3.) Staffing Plan'!M38&gt;0,'3.) Staffing Plan'!M38,'3.) Staffing Plan'!L38))/4</f>
        <v>0</v>
      </c>
      <c r="H92" s="205"/>
      <c r="I92" s="612"/>
      <c r="J92" s="617"/>
      <c r="K92" s="618"/>
      <c r="L92" s="606">
        <f>IF(K$18&lt;&gt;0,J92-K92,0)</f>
        <v>0</v>
      </c>
      <c r="M92" s="617"/>
      <c r="N92" s="618"/>
      <c r="O92" s="606">
        <f>IF(N$18&lt;&gt;0,M92-N92,0)</f>
        <v>0</v>
      </c>
      <c r="P92" s="617"/>
      <c r="Q92" s="618"/>
      <c r="R92" s="606">
        <f>IF(Q$18&lt;&gt;0,P92-Q92,0)</f>
        <v>0</v>
      </c>
      <c r="S92" s="617"/>
      <c r="T92" s="618"/>
      <c r="U92" s="607">
        <f>IF(T$18&lt;&gt;0,S92-T92,0)</f>
        <v>0</v>
      </c>
      <c r="V92" s="608">
        <f>J92+M92+P92+S92</f>
        <v>0</v>
      </c>
      <c r="W92" s="609">
        <f>SUM(IF(K$6&lt;&gt;0,K92,J92)+IF(N$6&lt;&gt;0,N92,M92)+IF(Q$6&lt;&gt;0,Q92,P92)+IF(T$6&lt;&gt;0,T92,S92))</f>
        <v>0</v>
      </c>
      <c r="X92" s="606">
        <f>V92-W92</f>
        <v>0</v>
      </c>
      <c r="Y92" s="610">
        <f>I92-V92</f>
        <v>0</v>
      </c>
      <c r="Z92" s="611">
        <f>I92-W92</f>
        <v>0</v>
      </c>
      <c r="AA92" s="240"/>
    </row>
    <row r="93" spans="1:27" ht="15">
      <c r="A93" s="435">
        <f t="shared" si="25"/>
        <v>93</v>
      </c>
      <c r="B93" s="77"/>
      <c r="C93" s="53"/>
      <c r="D93" s="45" t="s">
        <v>102</v>
      </c>
      <c r="E93" s="33"/>
      <c r="F93" s="33"/>
      <c r="G93" s="649">
        <f>(IF('3.) Staffing Plan'!G39&gt;0,'3.) Staffing Plan'!G39,'3.) Staffing Plan'!F39)+IF('3.) Staffing Plan'!I39&gt;0,'3.) Staffing Plan'!I39,'3.) Staffing Plan'!H39)+IF('3.) Staffing Plan'!K39&gt;0,'3.) Staffing Plan'!K39,'3.) Staffing Plan'!J39)+IF('3.) Staffing Plan'!M39&gt;0,'3.) Staffing Plan'!M39,'3.) Staffing Plan'!L39))/4</f>
        <v>0</v>
      </c>
      <c r="H93" s="205"/>
      <c r="I93" s="612"/>
      <c r="J93" s="570"/>
      <c r="K93" s="618"/>
      <c r="L93" s="606">
        <f>IF(K$18&lt;&gt;0,J93-K93,0)</f>
        <v>0</v>
      </c>
      <c r="M93" s="570"/>
      <c r="N93" s="618"/>
      <c r="O93" s="606">
        <f>IF(N$18&lt;&gt;0,M93-N93,0)</f>
        <v>0</v>
      </c>
      <c r="P93" s="570"/>
      <c r="Q93" s="618"/>
      <c r="R93" s="606">
        <f>IF(Q$18&lt;&gt;0,P93-Q93,0)</f>
        <v>0</v>
      </c>
      <c r="S93" s="570"/>
      <c r="T93" s="618"/>
      <c r="U93" s="607">
        <f>IF(T$18&lt;&gt;0,S93-T93,0)</f>
        <v>0</v>
      </c>
      <c r="V93" s="608">
        <f>J93+M93+P93+S93</f>
        <v>0</v>
      </c>
      <c r="W93" s="609">
        <f>SUM(IF(K$6&lt;&gt;0,K93,J93)+IF(N$6&lt;&gt;0,N93,M93)+IF(Q$6&lt;&gt;0,Q93,P93)+IF(T$6&lt;&gt;0,T93,S93))</f>
        <v>0</v>
      </c>
      <c r="X93" s="606">
        <f>V93-W93</f>
        <v>0</v>
      </c>
      <c r="Y93" s="610">
        <f>I93-V93</f>
        <v>0</v>
      </c>
      <c r="Z93" s="611">
        <f>I93-W93</f>
        <v>0</v>
      </c>
      <c r="AA93" s="240"/>
    </row>
    <row r="94" spans="1:27" ht="15">
      <c r="A94" s="435">
        <f t="shared" si="25"/>
        <v>94</v>
      </c>
      <c r="B94" s="77"/>
      <c r="C94" s="53"/>
      <c r="D94" s="45" t="s">
        <v>7</v>
      </c>
      <c r="E94" s="33"/>
      <c r="F94" s="33"/>
      <c r="G94" s="649">
        <f>(IF('3.) Staffing Plan'!G40&gt;0,'3.) Staffing Plan'!G40,'3.) Staffing Plan'!F40)+IF('3.) Staffing Plan'!I40&gt;0,'3.) Staffing Plan'!I40,'3.) Staffing Plan'!H40)+IF('3.) Staffing Plan'!K40&gt;0,'3.) Staffing Plan'!K40,'3.) Staffing Plan'!J40)+IF('3.) Staffing Plan'!M40&gt;0,'3.) Staffing Plan'!M40,'3.) Staffing Plan'!L40))/4</f>
        <v>0</v>
      </c>
      <c r="H94" s="205"/>
      <c r="I94" s="612"/>
      <c r="J94" s="617"/>
      <c r="K94" s="618"/>
      <c r="L94" s="606">
        <f>IF(K$18&lt;&gt;0,J94-K94,0)</f>
        <v>0</v>
      </c>
      <c r="M94" s="617"/>
      <c r="N94" s="618"/>
      <c r="O94" s="606">
        <f>IF(N$18&lt;&gt;0,M94-N94,0)</f>
        <v>0</v>
      </c>
      <c r="P94" s="617"/>
      <c r="Q94" s="618"/>
      <c r="R94" s="606">
        <f>IF(Q$18&lt;&gt;0,P94-Q94,0)</f>
        <v>0</v>
      </c>
      <c r="S94" s="617"/>
      <c r="T94" s="618"/>
      <c r="U94" s="607">
        <f>IF(T$18&lt;&gt;0,S94-T94,0)</f>
        <v>0</v>
      </c>
      <c r="V94" s="608">
        <f>J94+M94+P94+S94</f>
        <v>0</v>
      </c>
      <c r="W94" s="609">
        <f>SUM(IF(K$6&lt;&gt;0,K94,J94)+IF(N$6&lt;&gt;0,N94,M94)+IF(Q$6&lt;&gt;0,Q94,P94)+IF(T$6&lt;&gt;0,T94,S94))</f>
        <v>0</v>
      </c>
      <c r="X94" s="606">
        <f>V94-W94</f>
        <v>0</v>
      </c>
      <c r="Y94" s="610">
        <f>I94-V94</f>
        <v>0</v>
      </c>
      <c r="Z94" s="611">
        <f>I94-W94</f>
        <v>0</v>
      </c>
      <c r="AA94" s="240"/>
    </row>
    <row r="95" spans="1:27" ht="17.25">
      <c r="A95" s="435">
        <f t="shared" si="25"/>
        <v>95</v>
      </c>
      <c r="B95" s="77"/>
      <c r="C95" s="53"/>
      <c r="D95" s="45" t="s">
        <v>29</v>
      </c>
      <c r="E95" s="33"/>
      <c r="F95" s="33"/>
      <c r="G95" s="653">
        <f>(IF('3.) Staffing Plan'!G41&gt;0,'3.) Staffing Plan'!G41,'3.) Staffing Plan'!F41)+IF('3.) Staffing Plan'!I41&gt;0,'3.) Staffing Plan'!I41,'3.) Staffing Plan'!H41)+IF('3.) Staffing Plan'!K41&gt;0,'3.) Staffing Plan'!K41,'3.) Staffing Plan'!J41)+IF('3.) Staffing Plan'!M41&gt;0,'3.) Staffing Plan'!M41,'3.) Staffing Plan'!L41))/4</f>
        <v>0</v>
      </c>
      <c r="H95" s="205"/>
      <c r="I95" s="623"/>
      <c r="J95" s="624"/>
      <c r="K95" s="625"/>
      <c r="L95" s="626">
        <f>IF(K$18&lt;&gt;0,J95-K95,0)</f>
        <v>0</v>
      </c>
      <c r="M95" s="624"/>
      <c r="N95" s="625"/>
      <c r="O95" s="626">
        <f>IF(N$18&lt;&gt;0,M95-N95,0)</f>
        <v>0</v>
      </c>
      <c r="P95" s="624"/>
      <c r="Q95" s="625"/>
      <c r="R95" s="626">
        <f>IF(Q$18&lt;&gt;0,P95-Q95,0)</f>
        <v>0</v>
      </c>
      <c r="S95" s="624"/>
      <c r="T95" s="625"/>
      <c r="U95" s="629">
        <f>IF(T$18&lt;&gt;0,S95-T95,0)</f>
        <v>0</v>
      </c>
      <c r="V95" s="630">
        <f>J95+M95+P95+S95</f>
        <v>0</v>
      </c>
      <c r="W95" s="631">
        <f>SUM(IF(K$6&lt;&gt;0,K95,J95)+IF(N$6&lt;&gt;0,N95,M95)+IF(Q$6&lt;&gt;0,Q95,P95)+IF(T$6&lt;&gt;0,T95,S95))</f>
        <v>0</v>
      </c>
      <c r="X95" s="626">
        <f>V95-W95</f>
        <v>0</v>
      </c>
      <c r="Y95" s="632">
        <f>I95-V95</f>
        <v>0</v>
      </c>
      <c r="Z95" s="633">
        <f>I95-W95</f>
        <v>0</v>
      </c>
      <c r="AA95" s="240"/>
    </row>
    <row r="96" spans="1:27" ht="15">
      <c r="A96" s="435">
        <f t="shared" si="25"/>
        <v>96</v>
      </c>
      <c r="B96" s="77"/>
      <c r="C96" s="46" t="s">
        <v>80</v>
      </c>
      <c r="D96" s="53"/>
      <c r="E96" s="33"/>
      <c r="F96" s="33"/>
      <c r="G96" s="649">
        <f>SUM(G91:G95)</f>
        <v>0</v>
      </c>
      <c r="H96" s="205"/>
      <c r="I96" s="662">
        <f t="shared" ref="I96:Z96" si="46">SUM(I91:I95)</f>
        <v>0</v>
      </c>
      <c r="J96" s="656">
        <f t="shared" si="46"/>
        <v>0</v>
      </c>
      <c r="K96" s="656">
        <f t="shared" si="46"/>
        <v>0</v>
      </c>
      <c r="L96" s="656">
        <f t="shared" si="46"/>
        <v>0</v>
      </c>
      <c r="M96" s="656">
        <f t="shared" si="46"/>
        <v>0</v>
      </c>
      <c r="N96" s="656">
        <f t="shared" si="46"/>
        <v>0</v>
      </c>
      <c r="O96" s="656">
        <f t="shared" si="46"/>
        <v>0</v>
      </c>
      <c r="P96" s="656">
        <f t="shared" si="46"/>
        <v>0</v>
      </c>
      <c r="Q96" s="656">
        <f t="shared" si="46"/>
        <v>0</v>
      </c>
      <c r="R96" s="656">
        <f t="shared" si="46"/>
        <v>0</v>
      </c>
      <c r="S96" s="656">
        <f t="shared" si="46"/>
        <v>0</v>
      </c>
      <c r="T96" s="656">
        <f t="shared" si="46"/>
        <v>0</v>
      </c>
      <c r="U96" s="658">
        <f t="shared" si="46"/>
        <v>0</v>
      </c>
      <c r="V96" s="659">
        <f t="shared" si="46"/>
        <v>0</v>
      </c>
      <c r="W96" s="656">
        <f t="shared" si="46"/>
        <v>0</v>
      </c>
      <c r="X96" s="660">
        <f t="shared" si="46"/>
        <v>0</v>
      </c>
      <c r="Y96" s="655">
        <f t="shared" si="46"/>
        <v>0</v>
      </c>
      <c r="Z96" s="661">
        <f t="shared" si="46"/>
        <v>0</v>
      </c>
      <c r="AA96" s="240"/>
    </row>
    <row r="97" spans="1:27" ht="15">
      <c r="A97" s="435">
        <f t="shared" si="25"/>
        <v>97</v>
      </c>
      <c r="B97" s="77"/>
      <c r="C97" s="53"/>
      <c r="D97" s="33"/>
      <c r="E97" s="33"/>
      <c r="F97" s="33"/>
      <c r="G97" s="257"/>
      <c r="H97" s="205"/>
      <c r="I97" s="634"/>
      <c r="J97" s="634"/>
      <c r="K97" s="634"/>
      <c r="L97" s="634"/>
      <c r="M97" s="634"/>
      <c r="N97" s="634"/>
      <c r="O97" s="634"/>
      <c r="P97" s="634"/>
      <c r="Q97" s="634"/>
      <c r="R97" s="634"/>
      <c r="S97" s="634"/>
      <c r="T97" s="634"/>
      <c r="U97" s="635"/>
      <c r="V97" s="634"/>
      <c r="W97" s="634"/>
      <c r="X97" s="634"/>
      <c r="Y97" s="634"/>
      <c r="Z97" s="635"/>
      <c r="AA97" s="240"/>
    </row>
    <row r="98" spans="1:27" ht="15">
      <c r="A98" s="435">
        <f t="shared" si="25"/>
        <v>98</v>
      </c>
      <c r="B98" s="77"/>
      <c r="C98" s="50" t="s">
        <v>81</v>
      </c>
      <c r="D98" s="41"/>
      <c r="E98" s="41"/>
      <c r="F98" s="41"/>
      <c r="G98" s="649">
        <f>G77+G88+G96</f>
        <v>0</v>
      </c>
      <c r="H98" s="205"/>
      <c r="I98" s="621">
        <f t="shared" ref="I98:Z98" si="47">I77+I88+I96</f>
        <v>0</v>
      </c>
      <c r="J98" s="604">
        <f t="shared" si="47"/>
        <v>0</v>
      </c>
      <c r="K98" s="614">
        <f t="shared" si="47"/>
        <v>0</v>
      </c>
      <c r="L98" s="614">
        <f t="shared" si="47"/>
        <v>0</v>
      </c>
      <c r="M98" s="604">
        <f t="shared" si="47"/>
        <v>0</v>
      </c>
      <c r="N98" s="614">
        <f t="shared" si="47"/>
        <v>0</v>
      </c>
      <c r="O98" s="614">
        <f t="shared" si="47"/>
        <v>0</v>
      </c>
      <c r="P98" s="604">
        <f t="shared" si="47"/>
        <v>0</v>
      </c>
      <c r="Q98" s="614">
        <f t="shared" si="47"/>
        <v>0</v>
      </c>
      <c r="R98" s="614">
        <f t="shared" si="47"/>
        <v>0</v>
      </c>
      <c r="S98" s="604">
        <f t="shared" si="47"/>
        <v>0</v>
      </c>
      <c r="T98" s="614">
        <f t="shared" si="47"/>
        <v>0</v>
      </c>
      <c r="U98" s="615">
        <f t="shared" si="47"/>
        <v>0</v>
      </c>
      <c r="V98" s="608">
        <f t="shared" si="47"/>
        <v>0</v>
      </c>
      <c r="W98" s="614">
        <f t="shared" si="47"/>
        <v>0</v>
      </c>
      <c r="X98" s="616">
        <f t="shared" si="47"/>
        <v>0</v>
      </c>
      <c r="Y98" s="610">
        <f t="shared" si="47"/>
        <v>0</v>
      </c>
      <c r="Z98" s="611">
        <f t="shared" si="47"/>
        <v>0</v>
      </c>
      <c r="AA98" s="240"/>
    </row>
    <row r="99" spans="1:27" ht="15">
      <c r="A99" s="435">
        <f t="shared" si="25"/>
        <v>99</v>
      </c>
      <c r="B99" s="77"/>
      <c r="C99" s="53"/>
      <c r="D99" s="33"/>
      <c r="E99" s="33"/>
      <c r="F99" s="33"/>
      <c r="G99" s="257"/>
      <c r="H99" s="205"/>
      <c r="I99" s="634"/>
      <c r="J99" s="634"/>
      <c r="K99" s="634"/>
      <c r="L99" s="634"/>
      <c r="M99" s="634"/>
      <c r="N99" s="634"/>
      <c r="O99" s="634"/>
      <c r="P99" s="634"/>
      <c r="Q99" s="634"/>
      <c r="R99" s="634"/>
      <c r="S99" s="634"/>
      <c r="T99" s="634"/>
      <c r="U99" s="635"/>
      <c r="V99" s="634"/>
      <c r="W99" s="634"/>
      <c r="X99" s="634"/>
      <c r="Y99" s="634"/>
      <c r="Z99" s="635"/>
      <c r="AA99" s="240"/>
    </row>
    <row r="100" spans="1:27" ht="15">
      <c r="A100" s="435">
        <f t="shared" si="25"/>
        <v>100</v>
      </c>
      <c r="B100" s="77"/>
      <c r="C100" s="100" t="s">
        <v>82</v>
      </c>
      <c r="D100" s="41"/>
      <c r="E100" s="41"/>
      <c r="F100" s="41"/>
      <c r="G100" s="260"/>
      <c r="H100" s="205"/>
      <c r="I100" s="76"/>
      <c r="J100" s="76"/>
      <c r="K100" s="76"/>
      <c r="L100" s="76"/>
      <c r="M100" s="76"/>
      <c r="N100" s="76"/>
      <c r="O100" s="76"/>
      <c r="P100" s="76"/>
      <c r="Q100" s="76"/>
      <c r="R100" s="76"/>
      <c r="S100" s="76"/>
      <c r="T100" s="76"/>
      <c r="U100" s="99"/>
      <c r="V100" s="76"/>
      <c r="W100" s="76"/>
      <c r="X100" s="76"/>
      <c r="Y100" s="76"/>
      <c r="Z100" s="99"/>
      <c r="AA100" s="240"/>
    </row>
    <row r="101" spans="1:27" ht="15">
      <c r="A101" s="435">
        <f t="shared" si="25"/>
        <v>101</v>
      </c>
      <c r="B101" s="77"/>
      <c r="C101" s="53"/>
      <c r="D101" s="45" t="s">
        <v>14</v>
      </c>
      <c r="E101" s="41"/>
      <c r="F101" s="41"/>
      <c r="G101" s="260"/>
      <c r="H101" s="205"/>
      <c r="I101" s="612"/>
      <c r="J101" s="570"/>
      <c r="K101" s="618"/>
      <c r="L101" s="606">
        <f>IF(K$18&lt;&gt;0,J101-K101,0)</f>
        <v>0</v>
      </c>
      <c r="M101" s="570"/>
      <c r="N101" s="618"/>
      <c r="O101" s="606">
        <f>IF(N$18&lt;&gt;0,M101-N101,0)</f>
        <v>0</v>
      </c>
      <c r="P101" s="570"/>
      <c r="Q101" s="618"/>
      <c r="R101" s="606">
        <f>IF(Q$18&lt;&gt;0,P101-Q101,0)</f>
        <v>0</v>
      </c>
      <c r="S101" s="570"/>
      <c r="T101" s="618"/>
      <c r="U101" s="607">
        <f>IF(T$18&lt;&gt;0,S101-T101,0)</f>
        <v>0</v>
      </c>
      <c r="V101" s="608">
        <f>J101+M101+P101+S101</f>
        <v>0</v>
      </c>
      <c r="W101" s="609">
        <f>SUM(IF(K$6&lt;&gt;0,K101,J101)+IF(N$6&lt;&gt;0,N101,M101)+IF(Q$6&lt;&gt;0,Q101,P101)+IF(T$6&lt;&gt;0,T101,S101))</f>
        <v>0</v>
      </c>
      <c r="X101" s="606">
        <f>V101-W101</f>
        <v>0</v>
      </c>
      <c r="Y101" s="610">
        <f>I101-V101</f>
        <v>0</v>
      </c>
      <c r="Z101" s="611">
        <f>I101-W101</f>
        <v>0</v>
      </c>
      <c r="AA101" s="240"/>
    </row>
    <row r="102" spans="1:27" ht="15">
      <c r="A102" s="435">
        <f t="shared" si="25"/>
        <v>102</v>
      </c>
      <c r="B102" s="77"/>
      <c r="C102" s="53"/>
      <c r="D102" s="33" t="s">
        <v>69</v>
      </c>
      <c r="E102" s="41"/>
      <c r="F102" s="41"/>
      <c r="G102" s="260"/>
      <c r="H102" s="205"/>
      <c r="I102" s="612"/>
      <c r="J102" s="570"/>
      <c r="K102" s="618"/>
      <c r="L102" s="606">
        <f>IF(K$18&lt;&gt;0,J102-K102,0)</f>
        <v>0</v>
      </c>
      <c r="M102" s="570"/>
      <c r="N102" s="618"/>
      <c r="O102" s="606">
        <f>IF(N$18&lt;&gt;0,M102-N102,0)</f>
        <v>0</v>
      </c>
      <c r="P102" s="570"/>
      <c r="Q102" s="618"/>
      <c r="R102" s="606">
        <f>IF(Q$18&lt;&gt;0,P102-Q102,0)</f>
        <v>0</v>
      </c>
      <c r="S102" s="570"/>
      <c r="T102" s="618"/>
      <c r="U102" s="607">
        <f>IF(T$18&lt;&gt;0,S102-T102,0)</f>
        <v>0</v>
      </c>
      <c r="V102" s="608">
        <f>J102+M102+P102+S102</f>
        <v>0</v>
      </c>
      <c r="W102" s="609">
        <f>SUM(IF(K$6&lt;&gt;0,K102,J102)+IF(N$6&lt;&gt;0,N102,M102)+IF(Q$6&lt;&gt;0,Q102,P102)+IF(T$6&lt;&gt;0,T102,S102))</f>
        <v>0</v>
      </c>
      <c r="X102" s="606">
        <f>V102-W102</f>
        <v>0</v>
      </c>
      <c r="Y102" s="610">
        <f>I102-V102</f>
        <v>0</v>
      </c>
      <c r="Z102" s="611">
        <f>I102-W102</f>
        <v>0</v>
      </c>
      <c r="AA102" s="240"/>
    </row>
    <row r="103" spans="1:27" ht="17.25">
      <c r="A103" s="435">
        <f t="shared" si="25"/>
        <v>103</v>
      </c>
      <c r="B103" s="77"/>
      <c r="C103" s="53"/>
      <c r="D103" s="45" t="s">
        <v>58</v>
      </c>
      <c r="E103" s="41"/>
      <c r="F103" s="41"/>
      <c r="G103" s="260"/>
      <c r="H103" s="205"/>
      <c r="I103" s="623"/>
      <c r="J103" s="624"/>
      <c r="K103" s="625"/>
      <c r="L103" s="626">
        <f>IF(K$18&lt;&gt;0,J103-K103,0)</f>
        <v>0</v>
      </c>
      <c r="M103" s="624"/>
      <c r="N103" s="625"/>
      <c r="O103" s="626">
        <f>IF(N$18&lt;&gt;0,M103-N103,0)</f>
        <v>0</v>
      </c>
      <c r="P103" s="624"/>
      <c r="Q103" s="625"/>
      <c r="R103" s="626">
        <f>IF(Q$18&lt;&gt;0,P103-Q103,0)</f>
        <v>0</v>
      </c>
      <c r="S103" s="624"/>
      <c r="T103" s="625"/>
      <c r="U103" s="629">
        <f>IF(T$18&lt;&gt;0,S103-T103,0)</f>
        <v>0</v>
      </c>
      <c r="V103" s="630">
        <f>J103+M103+P103+S103</f>
        <v>0</v>
      </c>
      <c r="W103" s="631">
        <f>SUM(IF(K$6&lt;&gt;0,K103,J103)+IF(N$6&lt;&gt;0,N103,M103)+IF(Q$6&lt;&gt;0,Q103,P103)+IF(T$6&lt;&gt;0,T103,S103))</f>
        <v>0</v>
      </c>
      <c r="X103" s="626">
        <f>V103-W103</f>
        <v>0</v>
      </c>
      <c r="Y103" s="632">
        <f>I103-V103</f>
        <v>0</v>
      </c>
      <c r="Z103" s="633">
        <f>I103-W103</f>
        <v>0</v>
      </c>
      <c r="AA103" s="240"/>
    </row>
    <row r="104" spans="1:27" ht="15">
      <c r="A104" s="435">
        <f t="shared" si="25"/>
        <v>104</v>
      </c>
      <c r="B104" s="77"/>
      <c r="C104" s="46" t="s">
        <v>83</v>
      </c>
      <c r="D104" s="41"/>
      <c r="E104" s="41"/>
      <c r="F104" s="41"/>
      <c r="G104" s="260"/>
      <c r="H104" s="205"/>
      <c r="I104" s="621">
        <f t="shared" ref="I104:Z104" si="48">SUM(I101:I103)</f>
        <v>0</v>
      </c>
      <c r="J104" s="604">
        <f t="shared" si="48"/>
        <v>0</v>
      </c>
      <c r="K104" s="614">
        <f t="shared" si="48"/>
        <v>0</v>
      </c>
      <c r="L104" s="614">
        <f t="shared" si="48"/>
        <v>0</v>
      </c>
      <c r="M104" s="604">
        <f t="shared" si="48"/>
        <v>0</v>
      </c>
      <c r="N104" s="614">
        <f t="shared" si="48"/>
        <v>0</v>
      </c>
      <c r="O104" s="614">
        <f t="shared" si="48"/>
        <v>0</v>
      </c>
      <c r="P104" s="604">
        <f t="shared" si="48"/>
        <v>0</v>
      </c>
      <c r="Q104" s="614">
        <f t="shared" si="48"/>
        <v>0</v>
      </c>
      <c r="R104" s="614">
        <f t="shared" si="48"/>
        <v>0</v>
      </c>
      <c r="S104" s="604">
        <f t="shared" si="48"/>
        <v>0</v>
      </c>
      <c r="T104" s="614">
        <f t="shared" si="48"/>
        <v>0</v>
      </c>
      <c r="U104" s="615">
        <f t="shared" si="48"/>
        <v>0</v>
      </c>
      <c r="V104" s="608">
        <f t="shared" si="48"/>
        <v>0</v>
      </c>
      <c r="W104" s="614">
        <f t="shared" si="48"/>
        <v>0</v>
      </c>
      <c r="X104" s="616">
        <f t="shared" si="48"/>
        <v>0</v>
      </c>
      <c r="Y104" s="610">
        <f t="shared" si="48"/>
        <v>0</v>
      </c>
      <c r="Z104" s="502">
        <f t="shared" si="48"/>
        <v>0</v>
      </c>
      <c r="AA104" s="240"/>
    </row>
    <row r="105" spans="1:27" ht="15">
      <c r="A105" s="435">
        <f t="shared" si="25"/>
        <v>105</v>
      </c>
      <c r="B105" s="77"/>
      <c r="C105" s="53"/>
      <c r="D105" s="33"/>
      <c r="E105" s="33"/>
      <c r="F105" s="33"/>
      <c r="G105" s="257"/>
      <c r="H105" s="205"/>
      <c r="I105" s="634"/>
      <c r="J105" s="634"/>
      <c r="K105" s="634"/>
      <c r="L105" s="634"/>
      <c r="M105" s="634"/>
      <c r="N105" s="634"/>
      <c r="O105" s="634"/>
      <c r="P105" s="634"/>
      <c r="Q105" s="634"/>
      <c r="R105" s="634"/>
      <c r="S105" s="634"/>
      <c r="T105" s="634"/>
      <c r="U105" s="635"/>
      <c r="V105" s="634"/>
      <c r="W105" s="634"/>
      <c r="X105" s="634"/>
      <c r="Y105" s="634"/>
      <c r="Z105" s="99"/>
      <c r="AA105" s="240"/>
    </row>
    <row r="106" spans="1:27" ht="15">
      <c r="A106" s="435">
        <f t="shared" si="25"/>
        <v>106</v>
      </c>
      <c r="B106" s="77"/>
      <c r="C106" s="50" t="s">
        <v>84</v>
      </c>
      <c r="D106" s="41"/>
      <c r="E106" s="41"/>
      <c r="F106" s="41"/>
      <c r="G106" s="649">
        <f>G98</f>
        <v>0</v>
      </c>
      <c r="H106" s="205"/>
      <c r="I106" s="621">
        <f t="shared" ref="I106:Z106" si="49">I98+I104</f>
        <v>0</v>
      </c>
      <c r="J106" s="604">
        <f t="shared" si="49"/>
        <v>0</v>
      </c>
      <c r="K106" s="614">
        <f t="shared" si="49"/>
        <v>0</v>
      </c>
      <c r="L106" s="614">
        <f t="shared" si="49"/>
        <v>0</v>
      </c>
      <c r="M106" s="604">
        <f t="shared" si="49"/>
        <v>0</v>
      </c>
      <c r="N106" s="614">
        <f t="shared" si="49"/>
        <v>0</v>
      </c>
      <c r="O106" s="614">
        <f t="shared" si="49"/>
        <v>0</v>
      </c>
      <c r="P106" s="604">
        <f t="shared" si="49"/>
        <v>0</v>
      </c>
      <c r="Q106" s="614">
        <f t="shared" si="49"/>
        <v>0</v>
      </c>
      <c r="R106" s="614">
        <f t="shared" si="49"/>
        <v>0</v>
      </c>
      <c r="S106" s="604">
        <f t="shared" si="49"/>
        <v>0</v>
      </c>
      <c r="T106" s="614">
        <f t="shared" si="49"/>
        <v>0</v>
      </c>
      <c r="U106" s="615">
        <f t="shared" si="49"/>
        <v>0</v>
      </c>
      <c r="V106" s="608">
        <f t="shared" si="49"/>
        <v>0</v>
      </c>
      <c r="W106" s="614">
        <f t="shared" si="49"/>
        <v>0</v>
      </c>
      <c r="X106" s="616">
        <f t="shared" si="49"/>
        <v>0</v>
      </c>
      <c r="Y106" s="610">
        <f t="shared" si="49"/>
        <v>0</v>
      </c>
      <c r="Z106" s="611">
        <f t="shared" si="49"/>
        <v>0</v>
      </c>
      <c r="AA106" s="240"/>
    </row>
    <row r="107" spans="1:27" ht="15">
      <c r="A107" s="435">
        <f t="shared" si="25"/>
        <v>107</v>
      </c>
      <c r="B107" s="77"/>
      <c r="C107" s="53"/>
      <c r="D107" s="53"/>
      <c r="E107" s="33"/>
      <c r="F107" s="33"/>
      <c r="G107" s="47"/>
      <c r="H107" s="205"/>
      <c r="I107" s="634"/>
      <c r="J107" s="634"/>
      <c r="K107" s="634"/>
      <c r="L107" s="634"/>
      <c r="M107" s="634"/>
      <c r="N107" s="634"/>
      <c r="O107" s="634"/>
      <c r="P107" s="634"/>
      <c r="Q107" s="634"/>
      <c r="R107" s="634"/>
      <c r="S107" s="634"/>
      <c r="T107" s="634"/>
      <c r="U107" s="635"/>
      <c r="V107" s="634"/>
      <c r="W107" s="634"/>
      <c r="X107" s="634"/>
      <c r="Y107" s="634"/>
      <c r="Z107" s="635"/>
      <c r="AA107" s="240"/>
    </row>
    <row r="108" spans="1:27" ht="15">
      <c r="A108" s="435">
        <f t="shared" si="25"/>
        <v>108</v>
      </c>
      <c r="B108" s="77"/>
      <c r="C108" s="100" t="s">
        <v>85</v>
      </c>
      <c r="D108" s="53"/>
      <c r="E108" s="33"/>
      <c r="F108" s="33"/>
      <c r="G108" s="47"/>
      <c r="H108" s="205"/>
      <c r="I108" s="76"/>
      <c r="J108" s="76"/>
      <c r="K108" s="76"/>
      <c r="L108" s="76"/>
      <c r="M108" s="76"/>
      <c r="N108" s="76"/>
      <c r="O108" s="76"/>
      <c r="P108" s="76"/>
      <c r="Q108" s="76"/>
      <c r="R108" s="76"/>
      <c r="S108" s="76"/>
      <c r="T108" s="76"/>
      <c r="U108" s="99"/>
      <c r="V108" s="76"/>
      <c r="W108" s="76"/>
      <c r="X108" s="76"/>
      <c r="Y108" s="76"/>
      <c r="Z108" s="99"/>
      <c r="AA108" s="240"/>
    </row>
    <row r="109" spans="1:27" ht="15">
      <c r="A109" s="435">
        <f t="shared" si="25"/>
        <v>109</v>
      </c>
      <c r="B109" s="77"/>
      <c r="C109" s="53"/>
      <c r="D109" s="41" t="s">
        <v>65</v>
      </c>
      <c r="E109" s="33"/>
      <c r="F109" s="33"/>
      <c r="G109" s="47"/>
      <c r="H109" s="205"/>
      <c r="I109" s="571"/>
      <c r="J109" s="617"/>
      <c r="K109" s="618"/>
      <c r="L109" s="606">
        <f t="shared" ref="L109:L117" si="50">IF(K$18&lt;&gt;0,J109-K109,0)</f>
        <v>0</v>
      </c>
      <c r="M109" s="619"/>
      <c r="N109" s="620"/>
      <c r="O109" s="606">
        <f t="shared" ref="O109:O117" si="51">IF(N$18&lt;&gt;0,M109-N109,0)</f>
        <v>0</v>
      </c>
      <c r="P109" s="619"/>
      <c r="Q109" s="620"/>
      <c r="R109" s="606">
        <f t="shared" ref="R109:R117" si="52">IF(Q$18&lt;&gt;0,P109-Q109,0)</f>
        <v>0</v>
      </c>
      <c r="S109" s="568"/>
      <c r="T109" s="620"/>
      <c r="U109" s="607">
        <f t="shared" ref="U109:U117" si="53">IF(T$18&lt;&gt;0,S109-T109,0)</f>
        <v>0</v>
      </c>
      <c r="V109" s="608">
        <f t="shared" ref="V109:V117" si="54">J109+M109+P109+S109</f>
        <v>0</v>
      </c>
      <c r="W109" s="609">
        <f t="shared" ref="W109:W117" si="55">SUM(IF(K$6&lt;&gt;0,K109,J109)+IF(N$6&lt;&gt;0,N109,M109)+IF(Q$6&lt;&gt;0,Q109,P109)+IF(T$6&lt;&gt;0,T109,S109))</f>
        <v>0</v>
      </c>
      <c r="X109" s="606">
        <f t="shared" ref="X109:X117" si="56">V109-W109</f>
        <v>0</v>
      </c>
      <c r="Y109" s="610">
        <f t="shared" ref="Y109:Y117" si="57">I109-V109</f>
        <v>0</v>
      </c>
      <c r="Z109" s="611">
        <f t="shared" ref="Z109:Z117" si="58">I109-W109</f>
        <v>0</v>
      </c>
      <c r="AA109" s="240"/>
    </row>
    <row r="110" spans="1:27" ht="15">
      <c r="A110" s="435">
        <f t="shared" si="25"/>
        <v>110</v>
      </c>
      <c r="B110" s="77"/>
      <c r="C110" s="53"/>
      <c r="D110" s="45" t="s">
        <v>5</v>
      </c>
      <c r="E110" s="33"/>
      <c r="F110" s="33"/>
      <c r="G110" s="47"/>
      <c r="H110" s="205"/>
      <c r="I110" s="571"/>
      <c r="J110" s="617"/>
      <c r="K110" s="618"/>
      <c r="L110" s="606">
        <f t="shared" si="50"/>
        <v>0</v>
      </c>
      <c r="M110" s="619"/>
      <c r="N110" s="620"/>
      <c r="O110" s="606">
        <f t="shared" si="51"/>
        <v>0</v>
      </c>
      <c r="P110" s="619"/>
      <c r="Q110" s="620"/>
      <c r="R110" s="606">
        <f t="shared" si="52"/>
        <v>0</v>
      </c>
      <c r="S110" s="568"/>
      <c r="T110" s="620"/>
      <c r="U110" s="607">
        <f t="shared" si="53"/>
        <v>0</v>
      </c>
      <c r="V110" s="608">
        <f t="shared" si="54"/>
        <v>0</v>
      </c>
      <c r="W110" s="609">
        <f t="shared" si="55"/>
        <v>0</v>
      </c>
      <c r="X110" s="606">
        <f t="shared" si="56"/>
        <v>0</v>
      </c>
      <c r="Y110" s="610">
        <f t="shared" si="57"/>
        <v>0</v>
      </c>
      <c r="Z110" s="611">
        <f t="shared" si="58"/>
        <v>0</v>
      </c>
      <c r="AA110" s="240"/>
    </row>
    <row r="111" spans="1:27" ht="15">
      <c r="A111" s="435">
        <f t="shared" si="25"/>
        <v>111</v>
      </c>
      <c r="B111" s="77"/>
      <c r="C111" s="53"/>
      <c r="D111" s="45" t="s">
        <v>66</v>
      </c>
      <c r="E111" s="33"/>
      <c r="F111" s="33"/>
      <c r="G111" s="47"/>
      <c r="H111" s="205"/>
      <c r="I111" s="571"/>
      <c r="J111" s="617"/>
      <c r="K111" s="618"/>
      <c r="L111" s="606">
        <f t="shared" si="50"/>
        <v>0</v>
      </c>
      <c r="M111" s="617"/>
      <c r="N111" s="620"/>
      <c r="O111" s="606">
        <f t="shared" si="51"/>
        <v>0</v>
      </c>
      <c r="P111" s="617"/>
      <c r="Q111" s="620"/>
      <c r="R111" s="606">
        <f t="shared" si="52"/>
        <v>0</v>
      </c>
      <c r="S111" s="617"/>
      <c r="T111" s="620"/>
      <c r="U111" s="607">
        <f t="shared" si="53"/>
        <v>0</v>
      </c>
      <c r="V111" s="608">
        <f t="shared" si="54"/>
        <v>0</v>
      </c>
      <c r="W111" s="609">
        <f t="shared" si="55"/>
        <v>0</v>
      </c>
      <c r="X111" s="606">
        <f t="shared" si="56"/>
        <v>0</v>
      </c>
      <c r="Y111" s="610">
        <f t="shared" si="57"/>
        <v>0</v>
      </c>
      <c r="Z111" s="611">
        <f t="shared" si="58"/>
        <v>0</v>
      </c>
      <c r="AA111" s="240"/>
    </row>
    <row r="112" spans="1:27" ht="15">
      <c r="A112" s="435">
        <f t="shared" si="25"/>
        <v>112</v>
      </c>
      <c r="B112" s="77"/>
      <c r="C112" s="53"/>
      <c r="D112" s="45" t="s">
        <v>15</v>
      </c>
      <c r="E112" s="33"/>
      <c r="F112" s="33"/>
      <c r="G112" s="47"/>
      <c r="H112" s="205"/>
      <c r="I112" s="571"/>
      <c r="J112" s="617"/>
      <c r="K112" s="618"/>
      <c r="L112" s="606">
        <f t="shared" si="50"/>
        <v>0</v>
      </c>
      <c r="M112" s="619"/>
      <c r="N112" s="620"/>
      <c r="O112" s="606">
        <f t="shared" si="51"/>
        <v>0</v>
      </c>
      <c r="P112" s="619"/>
      <c r="Q112" s="620"/>
      <c r="R112" s="606">
        <f t="shared" si="52"/>
        <v>0</v>
      </c>
      <c r="S112" s="568"/>
      <c r="T112" s="620"/>
      <c r="U112" s="607">
        <f t="shared" si="53"/>
        <v>0</v>
      </c>
      <c r="V112" s="608">
        <f t="shared" si="54"/>
        <v>0</v>
      </c>
      <c r="W112" s="609">
        <f t="shared" si="55"/>
        <v>0</v>
      </c>
      <c r="X112" s="606">
        <f t="shared" si="56"/>
        <v>0</v>
      </c>
      <c r="Y112" s="610">
        <f t="shared" si="57"/>
        <v>0</v>
      </c>
      <c r="Z112" s="611">
        <f t="shared" si="58"/>
        <v>0</v>
      </c>
      <c r="AA112" s="240"/>
    </row>
    <row r="113" spans="1:27" ht="15">
      <c r="A113" s="435">
        <f t="shared" si="25"/>
        <v>113</v>
      </c>
      <c r="B113" s="77"/>
      <c r="C113" s="53"/>
      <c r="D113" s="45" t="s">
        <v>57</v>
      </c>
      <c r="E113" s="33"/>
      <c r="F113" s="33"/>
      <c r="G113" s="47"/>
      <c r="H113" s="205"/>
      <c r="I113" s="571"/>
      <c r="J113" s="617"/>
      <c r="K113" s="618"/>
      <c r="L113" s="606">
        <f t="shared" si="50"/>
        <v>0</v>
      </c>
      <c r="M113" s="619"/>
      <c r="N113" s="620"/>
      <c r="O113" s="606">
        <f t="shared" si="51"/>
        <v>0</v>
      </c>
      <c r="P113" s="619"/>
      <c r="Q113" s="620"/>
      <c r="R113" s="606">
        <f t="shared" si="52"/>
        <v>0</v>
      </c>
      <c r="S113" s="568"/>
      <c r="T113" s="620"/>
      <c r="U113" s="607">
        <f t="shared" si="53"/>
        <v>0</v>
      </c>
      <c r="V113" s="608">
        <f t="shared" si="54"/>
        <v>0</v>
      </c>
      <c r="W113" s="609">
        <f t="shared" si="55"/>
        <v>0</v>
      </c>
      <c r="X113" s="606">
        <f t="shared" si="56"/>
        <v>0</v>
      </c>
      <c r="Y113" s="610">
        <f t="shared" si="57"/>
        <v>0</v>
      </c>
      <c r="Z113" s="611">
        <f t="shared" si="58"/>
        <v>0</v>
      </c>
      <c r="AA113" s="240"/>
    </row>
    <row r="114" spans="1:27" ht="15">
      <c r="A114" s="435">
        <f t="shared" si="25"/>
        <v>114</v>
      </c>
      <c r="B114" s="77"/>
      <c r="C114" s="53"/>
      <c r="D114" s="45" t="s">
        <v>16</v>
      </c>
      <c r="E114" s="33"/>
      <c r="F114" s="33"/>
      <c r="G114" s="47"/>
      <c r="H114" s="205"/>
      <c r="I114" s="571"/>
      <c r="J114" s="617"/>
      <c r="K114" s="618"/>
      <c r="L114" s="606">
        <f t="shared" si="50"/>
        <v>0</v>
      </c>
      <c r="M114" s="619"/>
      <c r="N114" s="620"/>
      <c r="O114" s="606">
        <f t="shared" si="51"/>
        <v>0</v>
      </c>
      <c r="P114" s="619"/>
      <c r="Q114" s="620"/>
      <c r="R114" s="606">
        <f t="shared" si="52"/>
        <v>0</v>
      </c>
      <c r="S114" s="568"/>
      <c r="T114" s="620"/>
      <c r="U114" s="607">
        <f t="shared" si="53"/>
        <v>0</v>
      </c>
      <c r="V114" s="608">
        <f t="shared" si="54"/>
        <v>0</v>
      </c>
      <c r="W114" s="609">
        <f t="shared" si="55"/>
        <v>0</v>
      </c>
      <c r="X114" s="606">
        <f t="shared" si="56"/>
        <v>0</v>
      </c>
      <c r="Y114" s="610">
        <f t="shared" si="57"/>
        <v>0</v>
      </c>
      <c r="Z114" s="611">
        <f t="shared" si="58"/>
        <v>0</v>
      </c>
      <c r="AA114" s="240"/>
    </row>
    <row r="115" spans="1:27" ht="15">
      <c r="A115" s="435">
        <f t="shared" si="25"/>
        <v>115</v>
      </c>
      <c r="B115" s="77"/>
      <c r="C115" s="53"/>
      <c r="D115" s="45" t="s">
        <v>17</v>
      </c>
      <c r="E115" s="33"/>
      <c r="F115" s="33"/>
      <c r="G115" s="47"/>
      <c r="H115" s="205"/>
      <c r="I115" s="571"/>
      <c r="J115" s="617"/>
      <c r="K115" s="618"/>
      <c r="L115" s="606">
        <f t="shared" si="50"/>
        <v>0</v>
      </c>
      <c r="M115" s="619"/>
      <c r="N115" s="620"/>
      <c r="O115" s="606">
        <f t="shared" si="51"/>
        <v>0</v>
      </c>
      <c r="P115" s="619"/>
      <c r="Q115" s="620"/>
      <c r="R115" s="606">
        <f t="shared" si="52"/>
        <v>0</v>
      </c>
      <c r="S115" s="568"/>
      <c r="T115" s="620"/>
      <c r="U115" s="607">
        <f t="shared" si="53"/>
        <v>0</v>
      </c>
      <c r="V115" s="608">
        <f t="shared" si="54"/>
        <v>0</v>
      </c>
      <c r="W115" s="609">
        <f t="shared" si="55"/>
        <v>0</v>
      </c>
      <c r="X115" s="606">
        <f t="shared" si="56"/>
        <v>0</v>
      </c>
      <c r="Y115" s="610">
        <f t="shared" si="57"/>
        <v>0</v>
      </c>
      <c r="Z115" s="611">
        <f t="shared" si="58"/>
        <v>0</v>
      </c>
      <c r="AA115" s="240"/>
    </row>
    <row r="116" spans="1:27" ht="15">
      <c r="A116" s="435">
        <f t="shared" si="25"/>
        <v>116</v>
      </c>
      <c r="B116" s="77"/>
      <c r="C116" s="53"/>
      <c r="D116" s="45" t="s">
        <v>68</v>
      </c>
      <c r="E116" s="33"/>
      <c r="F116" s="33"/>
      <c r="G116" s="47"/>
      <c r="H116" s="205"/>
      <c r="I116" s="571"/>
      <c r="J116" s="617"/>
      <c r="K116" s="618"/>
      <c r="L116" s="606">
        <f t="shared" si="50"/>
        <v>0</v>
      </c>
      <c r="M116" s="619"/>
      <c r="N116" s="620"/>
      <c r="O116" s="606">
        <f t="shared" si="51"/>
        <v>0</v>
      </c>
      <c r="P116" s="619"/>
      <c r="Q116" s="620"/>
      <c r="R116" s="606">
        <f t="shared" si="52"/>
        <v>0</v>
      </c>
      <c r="S116" s="568"/>
      <c r="T116" s="620"/>
      <c r="U116" s="607">
        <f t="shared" si="53"/>
        <v>0</v>
      </c>
      <c r="V116" s="608">
        <f t="shared" si="54"/>
        <v>0</v>
      </c>
      <c r="W116" s="609">
        <f t="shared" si="55"/>
        <v>0</v>
      </c>
      <c r="X116" s="606">
        <f t="shared" si="56"/>
        <v>0</v>
      </c>
      <c r="Y116" s="610">
        <f t="shared" si="57"/>
        <v>0</v>
      </c>
      <c r="Z116" s="611">
        <f t="shared" si="58"/>
        <v>0</v>
      </c>
      <c r="AA116" s="240"/>
    </row>
    <row r="117" spans="1:27" ht="17.25">
      <c r="A117" s="435">
        <f t="shared" si="25"/>
        <v>117</v>
      </c>
      <c r="B117" s="77"/>
      <c r="C117" s="53"/>
      <c r="D117" s="41" t="s">
        <v>67</v>
      </c>
      <c r="E117" s="33"/>
      <c r="F117" s="33"/>
      <c r="G117" s="47"/>
      <c r="H117" s="205"/>
      <c r="I117" s="566"/>
      <c r="J117" s="624"/>
      <c r="K117" s="625"/>
      <c r="L117" s="626">
        <f t="shared" si="50"/>
        <v>0</v>
      </c>
      <c r="M117" s="627"/>
      <c r="N117" s="628"/>
      <c r="O117" s="626">
        <f t="shared" si="51"/>
        <v>0</v>
      </c>
      <c r="P117" s="627"/>
      <c r="Q117" s="628"/>
      <c r="R117" s="626">
        <f t="shared" si="52"/>
        <v>0</v>
      </c>
      <c r="S117" s="627"/>
      <c r="T117" s="628"/>
      <c r="U117" s="629">
        <f t="shared" si="53"/>
        <v>0</v>
      </c>
      <c r="V117" s="630">
        <f t="shared" si="54"/>
        <v>0</v>
      </c>
      <c r="W117" s="631">
        <f t="shared" si="55"/>
        <v>0</v>
      </c>
      <c r="X117" s="626">
        <f t="shared" si="56"/>
        <v>0</v>
      </c>
      <c r="Y117" s="632">
        <f t="shared" si="57"/>
        <v>0</v>
      </c>
      <c r="Z117" s="633">
        <f t="shared" si="58"/>
        <v>0</v>
      </c>
      <c r="AA117" s="240"/>
    </row>
    <row r="118" spans="1:27" ht="15">
      <c r="A118" s="435">
        <f t="shared" si="25"/>
        <v>118</v>
      </c>
      <c r="B118" s="77"/>
      <c r="C118" s="46" t="s">
        <v>86</v>
      </c>
      <c r="D118" s="53"/>
      <c r="E118" s="33"/>
      <c r="F118" s="33"/>
      <c r="G118" s="47"/>
      <c r="H118" s="205"/>
      <c r="I118" s="621">
        <f t="shared" ref="I118:Z118" si="59">SUM(I109:I117)</f>
        <v>0</v>
      </c>
      <c r="J118" s="604">
        <f t="shared" si="59"/>
        <v>0</v>
      </c>
      <c r="K118" s="614">
        <f t="shared" si="59"/>
        <v>0</v>
      </c>
      <c r="L118" s="614">
        <f t="shared" si="59"/>
        <v>0</v>
      </c>
      <c r="M118" s="604">
        <f t="shared" si="59"/>
        <v>0</v>
      </c>
      <c r="N118" s="614">
        <f t="shared" si="59"/>
        <v>0</v>
      </c>
      <c r="O118" s="614">
        <f t="shared" si="59"/>
        <v>0</v>
      </c>
      <c r="P118" s="604">
        <f t="shared" si="59"/>
        <v>0</v>
      </c>
      <c r="Q118" s="614">
        <f t="shared" si="59"/>
        <v>0</v>
      </c>
      <c r="R118" s="614">
        <f t="shared" si="59"/>
        <v>0</v>
      </c>
      <c r="S118" s="604">
        <f t="shared" si="59"/>
        <v>0</v>
      </c>
      <c r="T118" s="614">
        <f t="shared" si="59"/>
        <v>0</v>
      </c>
      <c r="U118" s="615">
        <f t="shared" si="59"/>
        <v>0</v>
      </c>
      <c r="V118" s="608">
        <f t="shared" si="59"/>
        <v>0</v>
      </c>
      <c r="W118" s="614">
        <f t="shared" si="59"/>
        <v>0</v>
      </c>
      <c r="X118" s="616">
        <f t="shared" si="59"/>
        <v>0</v>
      </c>
      <c r="Y118" s="610">
        <f t="shared" si="59"/>
        <v>0</v>
      </c>
      <c r="Z118" s="611">
        <f t="shared" si="59"/>
        <v>0</v>
      </c>
      <c r="AA118" s="240"/>
    </row>
    <row r="119" spans="1:27" ht="15">
      <c r="A119" s="435">
        <f t="shared" si="25"/>
        <v>119</v>
      </c>
      <c r="B119" s="77"/>
      <c r="C119" s="53"/>
      <c r="D119" s="33"/>
      <c r="E119" s="33"/>
      <c r="F119" s="33"/>
      <c r="G119" s="47"/>
      <c r="H119" s="205"/>
      <c r="I119" s="634"/>
      <c r="J119" s="634"/>
      <c r="K119" s="634"/>
      <c r="L119" s="634"/>
      <c r="M119" s="634"/>
      <c r="N119" s="634"/>
      <c r="O119" s="634"/>
      <c r="P119" s="634"/>
      <c r="Q119" s="634"/>
      <c r="R119" s="634"/>
      <c r="S119" s="634"/>
      <c r="T119" s="634"/>
      <c r="U119" s="635"/>
      <c r="V119" s="634"/>
      <c r="W119" s="634"/>
      <c r="X119" s="634"/>
      <c r="Y119" s="634"/>
      <c r="Z119" s="635"/>
      <c r="AA119" s="240"/>
    </row>
    <row r="120" spans="1:27" ht="15">
      <c r="A120" s="435">
        <f t="shared" si="25"/>
        <v>120</v>
      </c>
      <c r="B120" s="77"/>
      <c r="C120" s="100" t="s">
        <v>87</v>
      </c>
      <c r="D120" s="33"/>
      <c r="E120" s="33"/>
      <c r="F120" s="33"/>
      <c r="G120" s="47"/>
      <c r="H120" s="205"/>
      <c r="I120" s="76"/>
      <c r="J120" s="76"/>
      <c r="K120" s="76"/>
      <c r="L120" s="76"/>
      <c r="M120" s="76"/>
      <c r="N120" s="76"/>
      <c r="O120" s="76"/>
      <c r="P120" s="76"/>
      <c r="Q120" s="76"/>
      <c r="R120" s="76"/>
      <c r="S120" s="76"/>
      <c r="T120" s="76"/>
      <c r="U120" s="99"/>
      <c r="V120" s="76"/>
      <c r="W120" s="76"/>
      <c r="X120" s="76"/>
      <c r="Y120" s="76"/>
      <c r="Z120" s="99"/>
      <c r="AA120" s="805"/>
    </row>
    <row r="121" spans="1:27" ht="15">
      <c r="A121" s="435">
        <f t="shared" si="25"/>
        <v>121</v>
      </c>
      <c r="B121" s="77"/>
      <c r="C121" s="53"/>
      <c r="D121" s="45" t="s">
        <v>1</v>
      </c>
      <c r="E121" s="41"/>
      <c r="F121" s="41"/>
      <c r="G121" s="49"/>
      <c r="H121" s="205"/>
      <c r="I121" s="571"/>
      <c r="J121" s="570"/>
      <c r="K121" s="618"/>
      <c r="L121" s="606">
        <f t="shared" ref="L121:L140" si="60">IF(K$18&lt;&gt;0,J121-K121,0)</f>
        <v>0</v>
      </c>
      <c r="M121" s="568"/>
      <c r="N121" s="620"/>
      <c r="O121" s="606">
        <f t="shared" ref="O121:O140" si="61">IF(N$18&lt;&gt;0,M121-N121,0)</f>
        <v>0</v>
      </c>
      <c r="P121" s="568"/>
      <c r="Q121" s="620"/>
      <c r="R121" s="606">
        <f t="shared" ref="R121:R140" si="62">IF(Q$18&lt;&gt;0,P121-Q121,0)</f>
        <v>0</v>
      </c>
      <c r="S121" s="568"/>
      <c r="T121" s="620"/>
      <c r="U121" s="607">
        <f t="shared" ref="U121:U140" si="63">IF(T$18&lt;&gt;0,S121-T121,0)</f>
        <v>0</v>
      </c>
      <c r="V121" s="608">
        <f t="shared" ref="V121:V140" si="64">J121+M121+P121+S121</f>
        <v>0</v>
      </c>
      <c r="W121" s="609">
        <f t="shared" ref="W121:W140" si="65">SUM(IF(K$6&lt;&gt;0,K121,J121)+IF(N$6&lt;&gt;0,N121,M121)+IF(Q$6&lt;&gt;0,Q121,P121)+IF(T$6&lt;&gt;0,T121,S121))</f>
        <v>0</v>
      </c>
      <c r="X121" s="606">
        <f t="shared" ref="X121:X140" si="66">V121-W121</f>
        <v>0</v>
      </c>
      <c r="Y121" s="610">
        <f t="shared" ref="Y121:Y140" si="67">I121-V121</f>
        <v>0</v>
      </c>
      <c r="Z121" s="611">
        <f t="shared" ref="Z121:Z140" si="68">I121-W121</f>
        <v>0</v>
      </c>
      <c r="AA121" s="240"/>
    </row>
    <row r="122" spans="1:27" ht="15">
      <c r="A122" s="435">
        <f t="shared" si="25"/>
        <v>122</v>
      </c>
      <c r="B122" s="77"/>
      <c r="C122" s="53"/>
      <c r="D122" s="45" t="s">
        <v>71</v>
      </c>
      <c r="E122" s="41"/>
      <c r="F122" s="41"/>
      <c r="G122" s="49"/>
      <c r="H122" s="205"/>
      <c r="I122" s="571"/>
      <c r="J122" s="570"/>
      <c r="K122" s="618"/>
      <c r="L122" s="606">
        <f t="shared" si="60"/>
        <v>0</v>
      </c>
      <c r="M122" s="568"/>
      <c r="N122" s="620"/>
      <c r="O122" s="606">
        <f t="shared" si="61"/>
        <v>0</v>
      </c>
      <c r="P122" s="568"/>
      <c r="Q122" s="620"/>
      <c r="R122" s="606">
        <f t="shared" si="62"/>
        <v>0</v>
      </c>
      <c r="S122" s="568"/>
      <c r="T122" s="620"/>
      <c r="U122" s="607">
        <f t="shared" si="63"/>
        <v>0</v>
      </c>
      <c r="V122" s="608">
        <f t="shared" si="64"/>
        <v>0</v>
      </c>
      <c r="W122" s="609">
        <f t="shared" si="65"/>
        <v>0</v>
      </c>
      <c r="X122" s="606">
        <f t="shared" si="66"/>
        <v>0</v>
      </c>
      <c r="Y122" s="610">
        <f t="shared" si="67"/>
        <v>0</v>
      </c>
      <c r="Z122" s="611">
        <f t="shared" si="68"/>
        <v>0</v>
      </c>
      <c r="AA122" s="240"/>
    </row>
    <row r="123" spans="1:27" ht="15">
      <c r="A123" s="435">
        <f t="shared" si="25"/>
        <v>123</v>
      </c>
      <c r="B123" s="77"/>
      <c r="C123" s="53"/>
      <c r="D123" s="45" t="s">
        <v>64</v>
      </c>
      <c r="E123" s="41"/>
      <c r="F123" s="41"/>
      <c r="G123" s="49"/>
      <c r="H123" s="205"/>
      <c r="I123" s="571"/>
      <c r="J123" s="570"/>
      <c r="K123" s="618"/>
      <c r="L123" s="606">
        <f t="shared" si="60"/>
        <v>0</v>
      </c>
      <c r="M123" s="568"/>
      <c r="N123" s="620"/>
      <c r="O123" s="606">
        <f t="shared" si="61"/>
        <v>0</v>
      </c>
      <c r="P123" s="568"/>
      <c r="Q123" s="620"/>
      <c r="R123" s="606">
        <f t="shared" si="62"/>
        <v>0</v>
      </c>
      <c r="S123" s="568"/>
      <c r="T123" s="620"/>
      <c r="U123" s="607">
        <f t="shared" si="63"/>
        <v>0</v>
      </c>
      <c r="V123" s="608">
        <f t="shared" si="64"/>
        <v>0</v>
      </c>
      <c r="W123" s="609">
        <f t="shared" si="65"/>
        <v>0</v>
      </c>
      <c r="X123" s="606">
        <f t="shared" si="66"/>
        <v>0</v>
      </c>
      <c r="Y123" s="610">
        <f t="shared" si="67"/>
        <v>0</v>
      </c>
      <c r="Z123" s="611">
        <f t="shared" si="68"/>
        <v>0</v>
      </c>
      <c r="AA123" s="240"/>
    </row>
    <row r="124" spans="1:27" ht="15">
      <c r="A124" s="435">
        <f t="shared" si="25"/>
        <v>124</v>
      </c>
      <c r="B124" s="77"/>
      <c r="C124" s="53"/>
      <c r="D124" s="45" t="s">
        <v>70</v>
      </c>
      <c r="E124" s="41"/>
      <c r="F124" s="41"/>
      <c r="G124" s="49"/>
      <c r="H124" s="205"/>
      <c r="I124" s="571"/>
      <c r="J124" s="570"/>
      <c r="K124" s="618"/>
      <c r="L124" s="606">
        <f t="shared" si="60"/>
        <v>0</v>
      </c>
      <c r="M124" s="568"/>
      <c r="N124" s="620"/>
      <c r="O124" s="606">
        <f t="shared" si="61"/>
        <v>0</v>
      </c>
      <c r="P124" s="568"/>
      <c r="Q124" s="620"/>
      <c r="R124" s="606">
        <f t="shared" si="62"/>
        <v>0</v>
      </c>
      <c r="S124" s="568"/>
      <c r="T124" s="620"/>
      <c r="U124" s="607">
        <f t="shared" si="63"/>
        <v>0</v>
      </c>
      <c r="V124" s="608">
        <f t="shared" si="64"/>
        <v>0</v>
      </c>
      <c r="W124" s="609">
        <f t="shared" si="65"/>
        <v>0</v>
      </c>
      <c r="X124" s="606">
        <f t="shared" si="66"/>
        <v>0</v>
      </c>
      <c r="Y124" s="610">
        <f t="shared" si="67"/>
        <v>0</v>
      </c>
      <c r="Z124" s="611">
        <f t="shared" si="68"/>
        <v>0</v>
      </c>
      <c r="AA124" s="240"/>
    </row>
    <row r="125" spans="1:27" ht="15">
      <c r="A125" s="435">
        <f t="shared" si="25"/>
        <v>125</v>
      </c>
      <c r="B125" s="77"/>
      <c r="C125" s="53"/>
      <c r="D125" s="41" t="s">
        <v>72</v>
      </c>
      <c r="E125" s="41"/>
      <c r="F125" s="41"/>
      <c r="G125" s="49"/>
      <c r="H125" s="205"/>
      <c r="I125" s="571"/>
      <c r="J125" s="570"/>
      <c r="K125" s="618"/>
      <c r="L125" s="606">
        <f t="shared" si="60"/>
        <v>0</v>
      </c>
      <c r="M125" s="568"/>
      <c r="N125" s="620"/>
      <c r="O125" s="606">
        <f t="shared" si="61"/>
        <v>0</v>
      </c>
      <c r="P125" s="568"/>
      <c r="Q125" s="620"/>
      <c r="R125" s="606">
        <f t="shared" si="62"/>
        <v>0</v>
      </c>
      <c r="S125" s="568"/>
      <c r="T125" s="620"/>
      <c r="U125" s="607">
        <f t="shared" si="63"/>
        <v>0</v>
      </c>
      <c r="V125" s="608">
        <f t="shared" si="64"/>
        <v>0</v>
      </c>
      <c r="W125" s="609">
        <f t="shared" si="65"/>
        <v>0</v>
      </c>
      <c r="X125" s="606">
        <f t="shared" si="66"/>
        <v>0</v>
      </c>
      <c r="Y125" s="610">
        <f t="shared" si="67"/>
        <v>0</v>
      </c>
      <c r="Z125" s="611">
        <f t="shared" si="68"/>
        <v>0</v>
      </c>
      <c r="AA125" s="240"/>
    </row>
    <row r="126" spans="1:27" ht="15">
      <c r="A126" s="435">
        <f t="shared" si="25"/>
        <v>126</v>
      </c>
      <c r="B126" s="77"/>
      <c r="C126" s="53"/>
      <c r="D126" s="41" t="s">
        <v>56</v>
      </c>
      <c r="E126" s="41"/>
      <c r="F126" s="41"/>
      <c r="G126" s="49"/>
      <c r="H126" s="205"/>
      <c r="I126" s="571"/>
      <c r="J126" s="570"/>
      <c r="K126" s="618"/>
      <c r="L126" s="606">
        <f t="shared" si="60"/>
        <v>0</v>
      </c>
      <c r="M126" s="568"/>
      <c r="N126" s="620"/>
      <c r="O126" s="606">
        <f t="shared" si="61"/>
        <v>0</v>
      </c>
      <c r="P126" s="568"/>
      <c r="Q126" s="620"/>
      <c r="R126" s="606">
        <f t="shared" si="62"/>
        <v>0</v>
      </c>
      <c r="S126" s="568"/>
      <c r="T126" s="620"/>
      <c r="U126" s="607">
        <f t="shared" si="63"/>
        <v>0</v>
      </c>
      <c r="V126" s="608">
        <f t="shared" si="64"/>
        <v>0</v>
      </c>
      <c r="W126" s="609">
        <f t="shared" si="65"/>
        <v>0</v>
      </c>
      <c r="X126" s="606">
        <f t="shared" si="66"/>
        <v>0</v>
      </c>
      <c r="Y126" s="610">
        <f t="shared" si="67"/>
        <v>0</v>
      </c>
      <c r="Z126" s="611">
        <f t="shared" si="68"/>
        <v>0</v>
      </c>
      <c r="AA126" s="240"/>
    </row>
    <row r="127" spans="1:27" ht="15">
      <c r="A127" s="435">
        <f t="shared" si="25"/>
        <v>127</v>
      </c>
      <c r="B127" s="77"/>
      <c r="C127" s="53"/>
      <c r="D127" s="45" t="s">
        <v>62</v>
      </c>
      <c r="E127" s="41"/>
      <c r="F127" s="41"/>
      <c r="G127" s="49"/>
      <c r="H127" s="205"/>
      <c r="I127" s="571"/>
      <c r="J127" s="570"/>
      <c r="K127" s="618"/>
      <c r="L127" s="606">
        <f t="shared" si="60"/>
        <v>0</v>
      </c>
      <c r="M127" s="568"/>
      <c r="N127" s="620"/>
      <c r="O127" s="606">
        <f t="shared" si="61"/>
        <v>0</v>
      </c>
      <c r="P127" s="568"/>
      <c r="Q127" s="620"/>
      <c r="R127" s="606">
        <f t="shared" si="62"/>
        <v>0</v>
      </c>
      <c r="S127" s="568"/>
      <c r="T127" s="620"/>
      <c r="U127" s="607">
        <f t="shared" si="63"/>
        <v>0</v>
      </c>
      <c r="V127" s="608">
        <f t="shared" si="64"/>
        <v>0</v>
      </c>
      <c r="W127" s="609">
        <f t="shared" si="65"/>
        <v>0</v>
      </c>
      <c r="X127" s="606">
        <f t="shared" si="66"/>
        <v>0</v>
      </c>
      <c r="Y127" s="610">
        <f t="shared" si="67"/>
        <v>0</v>
      </c>
      <c r="Z127" s="611">
        <f t="shared" si="68"/>
        <v>0</v>
      </c>
      <c r="AA127" s="240"/>
    </row>
    <row r="128" spans="1:27" ht="15">
      <c r="A128" s="435">
        <f t="shared" si="25"/>
        <v>128</v>
      </c>
      <c r="B128" s="77"/>
      <c r="C128" s="53"/>
      <c r="D128" s="41" t="s">
        <v>53</v>
      </c>
      <c r="E128" s="41"/>
      <c r="F128" s="41"/>
      <c r="G128" s="49"/>
      <c r="H128" s="205"/>
      <c r="I128" s="571"/>
      <c r="J128" s="570"/>
      <c r="K128" s="618"/>
      <c r="L128" s="606">
        <f t="shared" si="60"/>
        <v>0</v>
      </c>
      <c r="M128" s="570"/>
      <c r="N128" s="620"/>
      <c r="O128" s="606">
        <f t="shared" si="61"/>
        <v>0</v>
      </c>
      <c r="P128" s="570"/>
      <c r="Q128" s="620"/>
      <c r="R128" s="606">
        <f t="shared" si="62"/>
        <v>0</v>
      </c>
      <c r="S128" s="568"/>
      <c r="T128" s="620"/>
      <c r="U128" s="607">
        <f t="shared" si="63"/>
        <v>0</v>
      </c>
      <c r="V128" s="608">
        <f t="shared" si="64"/>
        <v>0</v>
      </c>
      <c r="W128" s="609">
        <f t="shared" si="65"/>
        <v>0</v>
      </c>
      <c r="X128" s="606">
        <f t="shared" si="66"/>
        <v>0</v>
      </c>
      <c r="Y128" s="610">
        <f t="shared" si="67"/>
        <v>0</v>
      </c>
      <c r="Z128" s="611">
        <f t="shared" si="68"/>
        <v>0</v>
      </c>
      <c r="AA128" s="240"/>
    </row>
    <row r="129" spans="1:27" ht="15">
      <c r="A129" s="435">
        <f t="shared" si="25"/>
        <v>129</v>
      </c>
      <c r="B129" s="77"/>
      <c r="C129" s="53"/>
      <c r="D129" s="45" t="s">
        <v>60</v>
      </c>
      <c r="E129" s="41"/>
      <c r="F129" s="41"/>
      <c r="G129" s="49"/>
      <c r="H129" s="205"/>
      <c r="I129" s="571"/>
      <c r="J129" s="570"/>
      <c r="K129" s="618"/>
      <c r="L129" s="606">
        <f t="shared" si="60"/>
        <v>0</v>
      </c>
      <c r="M129" s="568"/>
      <c r="N129" s="620"/>
      <c r="O129" s="606">
        <f t="shared" si="61"/>
        <v>0</v>
      </c>
      <c r="P129" s="568"/>
      <c r="Q129" s="620"/>
      <c r="R129" s="606">
        <f t="shared" si="62"/>
        <v>0</v>
      </c>
      <c r="S129" s="568"/>
      <c r="T129" s="620"/>
      <c r="U129" s="607">
        <f t="shared" si="63"/>
        <v>0</v>
      </c>
      <c r="V129" s="608">
        <f t="shared" si="64"/>
        <v>0</v>
      </c>
      <c r="W129" s="609">
        <f t="shared" si="65"/>
        <v>0</v>
      </c>
      <c r="X129" s="606">
        <f t="shared" si="66"/>
        <v>0</v>
      </c>
      <c r="Y129" s="610">
        <f t="shared" si="67"/>
        <v>0</v>
      </c>
      <c r="Z129" s="611">
        <f t="shared" si="68"/>
        <v>0</v>
      </c>
      <c r="AA129" s="240"/>
    </row>
    <row r="130" spans="1:27" ht="15">
      <c r="A130" s="435">
        <f t="shared" si="25"/>
        <v>130</v>
      </c>
      <c r="B130" s="77"/>
      <c r="C130" s="53"/>
      <c r="D130" s="45" t="s">
        <v>2</v>
      </c>
      <c r="E130" s="41"/>
      <c r="F130" s="41"/>
      <c r="G130" s="49"/>
      <c r="H130" s="205"/>
      <c r="I130" s="571"/>
      <c r="J130" s="570"/>
      <c r="K130" s="618"/>
      <c r="L130" s="606">
        <f t="shared" si="60"/>
        <v>0</v>
      </c>
      <c r="M130" s="568"/>
      <c r="N130" s="620"/>
      <c r="O130" s="606">
        <f t="shared" si="61"/>
        <v>0</v>
      </c>
      <c r="P130" s="568"/>
      <c r="Q130" s="620"/>
      <c r="R130" s="606">
        <f t="shared" si="62"/>
        <v>0</v>
      </c>
      <c r="S130" s="568"/>
      <c r="T130" s="620"/>
      <c r="U130" s="607">
        <f t="shared" si="63"/>
        <v>0</v>
      </c>
      <c r="V130" s="608">
        <f t="shared" si="64"/>
        <v>0</v>
      </c>
      <c r="W130" s="609">
        <f t="shared" si="65"/>
        <v>0</v>
      </c>
      <c r="X130" s="606">
        <f t="shared" si="66"/>
        <v>0</v>
      </c>
      <c r="Y130" s="610">
        <f t="shared" si="67"/>
        <v>0</v>
      </c>
      <c r="Z130" s="611">
        <f t="shared" si="68"/>
        <v>0</v>
      </c>
      <c r="AA130" s="240"/>
    </row>
    <row r="131" spans="1:27" ht="15">
      <c r="A131" s="435">
        <f t="shared" si="25"/>
        <v>131</v>
      </c>
      <c r="B131" s="77"/>
      <c r="C131" s="53"/>
      <c r="D131" s="45" t="s">
        <v>19</v>
      </c>
      <c r="E131" s="41"/>
      <c r="F131" s="41"/>
      <c r="G131" s="49"/>
      <c r="H131" s="205"/>
      <c r="I131" s="571"/>
      <c r="J131" s="570"/>
      <c r="K131" s="618"/>
      <c r="L131" s="606">
        <f t="shared" si="60"/>
        <v>0</v>
      </c>
      <c r="M131" s="568"/>
      <c r="N131" s="620"/>
      <c r="O131" s="606">
        <f t="shared" si="61"/>
        <v>0</v>
      </c>
      <c r="P131" s="568"/>
      <c r="Q131" s="620"/>
      <c r="R131" s="606">
        <f t="shared" si="62"/>
        <v>0</v>
      </c>
      <c r="S131" s="568"/>
      <c r="T131" s="620"/>
      <c r="U131" s="607">
        <f t="shared" si="63"/>
        <v>0</v>
      </c>
      <c r="V131" s="608">
        <f t="shared" si="64"/>
        <v>0</v>
      </c>
      <c r="W131" s="609">
        <f t="shared" si="65"/>
        <v>0</v>
      </c>
      <c r="X131" s="606">
        <f t="shared" si="66"/>
        <v>0</v>
      </c>
      <c r="Y131" s="610">
        <f t="shared" si="67"/>
        <v>0</v>
      </c>
      <c r="Z131" s="611">
        <f t="shared" si="68"/>
        <v>0</v>
      </c>
      <c r="AA131" s="240"/>
    </row>
    <row r="132" spans="1:27" ht="15">
      <c r="A132" s="435">
        <f t="shared" ref="A132:A195" si="69">A131+1</f>
        <v>132</v>
      </c>
      <c r="B132" s="77"/>
      <c r="C132" s="53"/>
      <c r="D132" s="45" t="s">
        <v>63</v>
      </c>
      <c r="E132" s="41"/>
      <c r="F132" s="41"/>
      <c r="G132" s="49"/>
      <c r="H132" s="205"/>
      <c r="I132" s="571"/>
      <c r="J132" s="570"/>
      <c r="K132" s="618"/>
      <c r="L132" s="606">
        <f t="shared" si="60"/>
        <v>0</v>
      </c>
      <c r="M132" s="568"/>
      <c r="N132" s="620"/>
      <c r="O132" s="606">
        <f t="shared" si="61"/>
        <v>0</v>
      </c>
      <c r="P132" s="568"/>
      <c r="Q132" s="620"/>
      <c r="R132" s="606">
        <f t="shared" si="62"/>
        <v>0</v>
      </c>
      <c r="S132" s="568"/>
      <c r="T132" s="620"/>
      <c r="U132" s="607">
        <f t="shared" si="63"/>
        <v>0</v>
      </c>
      <c r="V132" s="608">
        <f t="shared" si="64"/>
        <v>0</v>
      </c>
      <c r="W132" s="609">
        <f t="shared" si="65"/>
        <v>0</v>
      </c>
      <c r="X132" s="606">
        <f t="shared" si="66"/>
        <v>0</v>
      </c>
      <c r="Y132" s="610">
        <f t="shared" si="67"/>
        <v>0</v>
      </c>
      <c r="Z132" s="611">
        <f t="shared" si="68"/>
        <v>0</v>
      </c>
      <c r="AA132" s="240"/>
    </row>
    <row r="133" spans="1:27" ht="15">
      <c r="A133" s="435">
        <f t="shared" si="69"/>
        <v>133</v>
      </c>
      <c r="B133" s="77"/>
      <c r="C133" s="53"/>
      <c r="D133" s="41" t="s">
        <v>6</v>
      </c>
      <c r="E133" s="41"/>
      <c r="F133" s="41"/>
      <c r="G133" s="49"/>
      <c r="H133" s="205"/>
      <c r="I133" s="571"/>
      <c r="J133" s="570"/>
      <c r="K133" s="618"/>
      <c r="L133" s="606">
        <f t="shared" si="60"/>
        <v>0</v>
      </c>
      <c r="M133" s="568"/>
      <c r="N133" s="620"/>
      <c r="O133" s="606">
        <f t="shared" si="61"/>
        <v>0</v>
      </c>
      <c r="P133" s="568"/>
      <c r="Q133" s="620"/>
      <c r="R133" s="606">
        <f t="shared" si="62"/>
        <v>0</v>
      </c>
      <c r="S133" s="568"/>
      <c r="T133" s="620"/>
      <c r="U133" s="607">
        <f t="shared" si="63"/>
        <v>0</v>
      </c>
      <c r="V133" s="608">
        <f t="shared" si="64"/>
        <v>0</v>
      </c>
      <c r="W133" s="609">
        <f t="shared" si="65"/>
        <v>0</v>
      </c>
      <c r="X133" s="606">
        <f t="shared" si="66"/>
        <v>0</v>
      </c>
      <c r="Y133" s="610">
        <f t="shared" si="67"/>
        <v>0</v>
      </c>
      <c r="Z133" s="611">
        <f t="shared" si="68"/>
        <v>0</v>
      </c>
      <c r="AA133" s="240"/>
    </row>
    <row r="134" spans="1:27" ht="15">
      <c r="A134" s="435">
        <f t="shared" si="69"/>
        <v>134</v>
      </c>
      <c r="B134" s="77"/>
      <c r="C134" s="53"/>
      <c r="D134" s="41" t="s">
        <v>18</v>
      </c>
      <c r="E134" s="41"/>
      <c r="F134" s="41"/>
      <c r="G134" s="49"/>
      <c r="H134" s="205"/>
      <c r="I134" s="571"/>
      <c r="J134" s="570"/>
      <c r="K134" s="618"/>
      <c r="L134" s="606">
        <f t="shared" si="60"/>
        <v>0</v>
      </c>
      <c r="M134" s="568"/>
      <c r="N134" s="620"/>
      <c r="O134" s="606">
        <f t="shared" si="61"/>
        <v>0</v>
      </c>
      <c r="P134" s="568"/>
      <c r="Q134" s="620"/>
      <c r="R134" s="606">
        <f t="shared" si="62"/>
        <v>0</v>
      </c>
      <c r="S134" s="568"/>
      <c r="T134" s="620"/>
      <c r="U134" s="607">
        <f t="shared" si="63"/>
        <v>0</v>
      </c>
      <c r="V134" s="608">
        <f t="shared" si="64"/>
        <v>0</v>
      </c>
      <c r="W134" s="609">
        <f t="shared" si="65"/>
        <v>0</v>
      </c>
      <c r="X134" s="606">
        <f t="shared" si="66"/>
        <v>0</v>
      </c>
      <c r="Y134" s="610">
        <f t="shared" si="67"/>
        <v>0</v>
      </c>
      <c r="Z134" s="611">
        <f t="shared" si="68"/>
        <v>0</v>
      </c>
      <c r="AA134" s="240"/>
    </row>
    <row r="135" spans="1:27" ht="15">
      <c r="A135" s="435">
        <f t="shared" si="69"/>
        <v>135</v>
      </c>
      <c r="B135" s="77"/>
      <c r="C135" s="53"/>
      <c r="D135" s="45" t="s">
        <v>8</v>
      </c>
      <c r="E135" s="41"/>
      <c r="F135" s="41"/>
      <c r="G135" s="49"/>
      <c r="H135" s="205"/>
      <c r="I135" s="571"/>
      <c r="J135" s="570"/>
      <c r="K135" s="618"/>
      <c r="L135" s="606">
        <f t="shared" si="60"/>
        <v>0</v>
      </c>
      <c r="M135" s="568"/>
      <c r="N135" s="620"/>
      <c r="O135" s="606">
        <f t="shared" si="61"/>
        <v>0</v>
      </c>
      <c r="P135" s="568"/>
      <c r="Q135" s="620"/>
      <c r="R135" s="606">
        <f t="shared" si="62"/>
        <v>0</v>
      </c>
      <c r="S135" s="568"/>
      <c r="T135" s="620"/>
      <c r="U135" s="607">
        <f t="shared" si="63"/>
        <v>0</v>
      </c>
      <c r="V135" s="608">
        <f t="shared" si="64"/>
        <v>0</v>
      </c>
      <c r="W135" s="609">
        <f t="shared" si="65"/>
        <v>0</v>
      </c>
      <c r="X135" s="606">
        <f t="shared" si="66"/>
        <v>0</v>
      </c>
      <c r="Y135" s="610">
        <f t="shared" si="67"/>
        <v>0</v>
      </c>
      <c r="Z135" s="611">
        <f t="shared" si="68"/>
        <v>0</v>
      </c>
      <c r="AA135" s="240"/>
    </row>
    <row r="136" spans="1:27" ht="15">
      <c r="A136" s="435">
        <f t="shared" si="69"/>
        <v>136</v>
      </c>
      <c r="B136" s="77"/>
      <c r="C136" s="53"/>
      <c r="D136" s="45" t="s">
        <v>59</v>
      </c>
      <c r="E136" s="41"/>
      <c r="F136" s="41"/>
      <c r="G136" s="49"/>
      <c r="H136" s="205"/>
      <c r="I136" s="571"/>
      <c r="J136" s="570"/>
      <c r="K136" s="618"/>
      <c r="L136" s="606">
        <f t="shared" si="60"/>
        <v>0</v>
      </c>
      <c r="M136" s="568"/>
      <c r="N136" s="620"/>
      <c r="O136" s="606">
        <f t="shared" si="61"/>
        <v>0</v>
      </c>
      <c r="P136" s="568"/>
      <c r="Q136" s="620"/>
      <c r="R136" s="606">
        <f t="shared" si="62"/>
        <v>0</v>
      </c>
      <c r="S136" s="568"/>
      <c r="T136" s="620"/>
      <c r="U136" s="607">
        <f t="shared" si="63"/>
        <v>0</v>
      </c>
      <c r="V136" s="608">
        <f t="shared" si="64"/>
        <v>0</v>
      </c>
      <c r="W136" s="609">
        <f t="shared" si="65"/>
        <v>0</v>
      </c>
      <c r="X136" s="606">
        <f t="shared" si="66"/>
        <v>0</v>
      </c>
      <c r="Y136" s="610">
        <f t="shared" si="67"/>
        <v>0</v>
      </c>
      <c r="Z136" s="611">
        <f t="shared" si="68"/>
        <v>0</v>
      </c>
      <c r="AA136" s="240"/>
    </row>
    <row r="137" spans="1:27" ht="15">
      <c r="A137" s="435">
        <f t="shared" si="69"/>
        <v>137</v>
      </c>
      <c r="B137" s="77"/>
      <c r="C137" s="53"/>
      <c r="D137" s="45" t="s">
        <v>74</v>
      </c>
      <c r="E137" s="41"/>
      <c r="F137" s="41"/>
      <c r="G137" s="49"/>
      <c r="H137" s="205"/>
      <c r="I137" s="571"/>
      <c r="J137" s="570"/>
      <c r="K137" s="618"/>
      <c r="L137" s="606">
        <f t="shared" si="60"/>
        <v>0</v>
      </c>
      <c r="M137" s="570"/>
      <c r="N137" s="620"/>
      <c r="O137" s="606">
        <f t="shared" si="61"/>
        <v>0</v>
      </c>
      <c r="P137" s="570"/>
      <c r="Q137" s="620"/>
      <c r="R137" s="606">
        <f t="shared" si="62"/>
        <v>0</v>
      </c>
      <c r="S137" s="570"/>
      <c r="T137" s="620"/>
      <c r="U137" s="607">
        <f t="shared" si="63"/>
        <v>0</v>
      </c>
      <c r="V137" s="608">
        <f t="shared" si="64"/>
        <v>0</v>
      </c>
      <c r="W137" s="609">
        <f t="shared" si="65"/>
        <v>0</v>
      </c>
      <c r="X137" s="606">
        <f t="shared" si="66"/>
        <v>0</v>
      </c>
      <c r="Y137" s="610">
        <f t="shared" si="67"/>
        <v>0</v>
      </c>
      <c r="Z137" s="611">
        <f t="shared" si="68"/>
        <v>0</v>
      </c>
      <c r="AA137" s="240"/>
    </row>
    <row r="138" spans="1:27" ht="15">
      <c r="A138" s="435">
        <f t="shared" si="69"/>
        <v>138</v>
      </c>
      <c r="B138" s="77"/>
      <c r="C138" s="53"/>
      <c r="D138" s="45" t="s">
        <v>61</v>
      </c>
      <c r="E138" s="41"/>
      <c r="F138" s="41"/>
      <c r="G138" s="49"/>
      <c r="H138" s="205"/>
      <c r="I138" s="571"/>
      <c r="J138" s="570"/>
      <c r="K138" s="618"/>
      <c r="L138" s="606">
        <f t="shared" si="60"/>
        <v>0</v>
      </c>
      <c r="M138" s="619"/>
      <c r="N138" s="620"/>
      <c r="O138" s="606">
        <f t="shared" si="61"/>
        <v>0</v>
      </c>
      <c r="P138" s="619"/>
      <c r="Q138" s="620"/>
      <c r="R138" s="606">
        <f t="shared" si="62"/>
        <v>0</v>
      </c>
      <c r="S138" s="619"/>
      <c r="T138" s="620"/>
      <c r="U138" s="607">
        <f t="shared" si="63"/>
        <v>0</v>
      </c>
      <c r="V138" s="608">
        <f t="shared" si="64"/>
        <v>0</v>
      </c>
      <c r="W138" s="609">
        <f t="shared" si="65"/>
        <v>0</v>
      </c>
      <c r="X138" s="606">
        <f t="shared" si="66"/>
        <v>0</v>
      </c>
      <c r="Y138" s="610">
        <f t="shared" si="67"/>
        <v>0</v>
      </c>
      <c r="Z138" s="611">
        <f t="shared" si="68"/>
        <v>0</v>
      </c>
      <c r="AA138" s="240"/>
    </row>
    <row r="139" spans="1:27" ht="15">
      <c r="A139" s="435">
        <f t="shared" si="69"/>
        <v>139</v>
      </c>
      <c r="B139" s="77"/>
      <c r="C139" s="53"/>
      <c r="D139" s="45" t="s">
        <v>41</v>
      </c>
      <c r="E139" s="41"/>
      <c r="F139" s="41"/>
      <c r="G139" s="49"/>
      <c r="H139" s="205"/>
      <c r="I139" s="612"/>
      <c r="J139" s="617"/>
      <c r="K139" s="618"/>
      <c r="L139" s="606">
        <f t="shared" si="60"/>
        <v>0</v>
      </c>
      <c r="M139" s="619"/>
      <c r="N139" s="620"/>
      <c r="O139" s="606">
        <f t="shared" si="61"/>
        <v>0</v>
      </c>
      <c r="P139" s="619"/>
      <c r="Q139" s="620"/>
      <c r="R139" s="606">
        <f t="shared" si="62"/>
        <v>0</v>
      </c>
      <c r="S139" s="619"/>
      <c r="T139" s="620"/>
      <c r="U139" s="607">
        <f t="shared" si="63"/>
        <v>0</v>
      </c>
      <c r="V139" s="608">
        <f t="shared" si="64"/>
        <v>0</v>
      </c>
      <c r="W139" s="609">
        <f t="shared" si="65"/>
        <v>0</v>
      </c>
      <c r="X139" s="606">
        <f t="shared" si="66"/>
        <v>0</v>
      </c>
      <c r="Y139" s="610">
        <f t="shared" si="67"/>
        <v>0</v>
      </c>
      <c r="Z139" s="611">
        <f t="shared" si="68"/>
        <v>0</v>
      </c>
      <c r="AA139" s="240"/>
    </row>
    <row r="140" spans="1:27" ht="17.25">
      <c r="A140" s="435">
        <f t="shared" si="69"/>
        <v>140</v>
      </c>
      <c r="B140" s="77"/>
      <c r="C140" s="53"/>
      <c r="D140" s="41" t="s">
        <v>29</v>
      </c>
      <c r="E140" s="41"/>
      <c r="F140" s="41"/>
      <c r="G140" s="49"/>
      <c r="H140" s="205"/>
      <c r="I140" s="623"/>
      <c r="J140" s="624"/>
      <c r="K140" s="625"/>
      <c r="L140" s="626">
        <f t="shared" si="60"/>
        <v>0</v>
      </c>
      <c r="M140" s="624"/>
      <c r="N140" s="628"/>
      <c r="O140" s="626">
        <f t="shared" si="61"/>
        <v>0</v>
      </c>
      <c r="P140" s="624"/>
      <c r="Q140" s="628"/>
      <c r="R140" s="626">
        <f t="shared" si="62"/>
        <v>0</v>
      </c>
      <c r="S140" s="624"/>
      <c r="T140" s="628"/>
      <c r="U140" s="629">
        <f t="shared" si="63"/>
        <v>0</v>
      </c>
      <c r="V140" s="630">
        <f t="shared" si="64"/>
        <v>0</v>
      </c>
      <c r="W140" s="631">
        <f t="shared" si="65"/>
        <v>0</v>
      </c>
      <c r="X140" s="626">
        <f t="shared" si="66"/>
        <v>0</v>
      </c>
      <c r="Y140" s="632">
        <f t="shared" si="67"/>
        <v>0</v>
      </c>
      <c r="Z140" s="633">
        <f t="shared" si="68"/>
        <v>0</v>
      </c>
      <c r="AA140" s="240"/>
    </row>
    <row r="141" spans="1:27" ht="15">
      <c r="A141" s="435">
        <f t="shared" si="69"/>
        <v>141</v>
      </c>
      <c r="B141" s="77"/>
      <c r="C141" s="46" t="s">
        <v>88</v>
      </c>
      <c r="D141" s="41"/>
      <c r="E141" s="41"/>
      <c r="F141" s="41"/>
      <c r="G141" s="49"/>
      <c r="H141" s="205"/>
      <c r="I141" s="621">
        <f t="shared" ref="I141:Z141" si="70">SUM(I121:I140)</f>
        <v>0</v>
      </c>
      <c r="J141" s="604">
        <f t="shared" si="70"/>
        <v>0</v>
      </c>
      <c r="K141" s="614">
        <f t="shared" si="70"/>
        <v>0</v>
      </c>
      <c r="L141" s="614">
        <f t="shared" si="70"/>
        <v>0</v>
      </c>
      <c r="M141" s="604">
        <f t="shared" si="70"/>
        <v>0</v>
      </c>
      <c r="N141" s="614">
        <f t="shared" si="70"/>
        <v>0</v>
      </c>
      <c r="O141" s="614">
        <f t="shared" si="70"/>
        <v>0</v>
      </c>
      <c r="P141" s="604">
        <f t="shared" si="70"/>
        <v>0</v>
      </c>
      <c r="Q141" s="614">
        <f t="shared" si="70"/>
        <v>0</v>
      </c>
      <c r="R141" s="614">
        <f t="shared" si="70"/>
        <v>0</v>
      </c>
      <c r="S141" s="604">
        <f t="shared" si="70"/>
        <v>0</v>
      </c>
      <c r="T141" s="614">
        <f t="shared" si="70"/>
        <v>0</v>
      </c>
      <c r="U141" s="615">
        <f t="shared" si="70"/>
        <v>0</v>
      </c>
      <c r="V141" s="608">
        <f t="shared" si="70"/>
        <v>0</v>
      </c>
      <c r="W141" s="614">
        <f t="shared" si="70"/>
        <v>0</v>
      </c>
      <c r="X141" s="616">
        <f t="shared" si="70"/>
        <v>0</v>
      </c>
      <c r="Y141" s="610">
        <f t="shared" si="70"/>
        <v>0</v>
      </c>
      <c r="Z141" s="611">
        <f t="shared" si="70"/>
        <v>0</v>
      </c>
      <c r="AA141" s="240"/>
    </row>
    <row r="142" spans="1:27" ht="15">
      <c r="A142" s="435">
        <f t="shared" si="69"/>
        <v>142</v>
      </c>
      <c r="B142" s="77"/>
      <c r="C142" s="53"/>
      <c r="D142" s="33"/>
      <c r="E142" s="33"/>
      <c r="F142" s="33"/>
      <c r="G142" s="47"/>
      <c r="H142" s="205"/>
      <c r="I142" s="634"/>
      <c r="J142" s="634"/>
      <c r="K142" s="634"/>
      <c r="L142" s="634"/>
      <c r="M142" s="634"/>
      <c r="N142" s="634"/>
      <c r="O142" s="634"/>
      <c r="P142" s="634"/>
      <c r="Q142" s="634"/>
      <c r="R142" s="634"/>
      <c r="S142" s="634"/>
      <c r="T142" s="634"/>
      <c r="U142" s="635"/>
      <c r="V142" s="634"/>
      <c r="W142" s="634"/>
      <c r="X142" s="634"/>
      <c r="Y142" s="634"/>
      <c r="Z142" s="635"/>
      <c r="AA142" s="240"/>
    </row>
    <row r="143" spans="1:27" ht="15">
      <c r="A143" s="435">
        <f t="shared" si="69"/>
        <v>143</v>
      </c>
      <c r="B143" s="77"/>
      <c r="C143" s="100" t="s">
        <v>89</v>
      </c>
      <c r="D143" s="41"/>
      <c r="E143" s="103"/>
      <c r="F143" s="103"/>
      <c r="G143" s="104"/>
      <c r="H143" s="205"/>
      <c r="I143" s="79"/>
      <c r="J143" s="79"/>
      <c r="K143" s="79"/>
      <c r="L143" s="79"/>
      <c r="M143" s="79"/>
      <c r="N143" s="79"/>
      <c r="O143" s="79"/>
      <c r="P143" s="79"/>
      <c r="Q143" s="79"/>
      <c r="R143" s="79"/>
      <c r="S143" s="79"/>
      <c r="T143" s="79"/>
      <c r="U143" s="80"/>
      <c r="V143" s="79"/>
      <c r="W143" s="79"/>
      <c r="X143" s="79"/>
      <c r="Y143" s="79"/>
      <c r="Z143" s="80"/>
      <c r="AA143" s="240"/>
    </row>
    <row r="144" spans="1:27" ht="15">
      <c r="A144" s="435">
        <f t="shared" si="69"/>
        <v>144</v>
      </c>
      <c r="B144" s="77"/>
      <c r="C144" s="41"/>
      <c r="D144" s="45" t="s">
        <v>3</v>
      </c>
      <c r="E144" s="44"/>
      <c r="F144" s="44"/>
      <c r="G144" s="104"/>
      <c r="H144" s="205"/>
      <c r="I144" s="571"/>
      <c r="J144" s="570"/>
      <c r="K144" s="618"/>
      <c r="L144" s="606">
        <f t="shared" ref="L144:L150" si="71">IF(K$18&lt;&gt;0,J144-K144,0)</f>
        <v>0</v>
      </c>
      <c r="M144" s="568"/>
      <c r="N144" s="620"/>
      <c r="O144" s="606">
        <f t="shared" ref="O144:O150" si="72">IF(N$18&lt;&gt;0,M144-N144,0)</f>
        <v>0</v>
      </c>
      <c r="P144" s="568"/>
      <c r="Q144" s="620"/>
      <c r="R144" s="606">
        <f t="shared" ref="R144:R150" si="73">IF(Q$18&lt;&gt;0,P144-Q144,0)</f>
        <v>0</v>
      </c>
      <c r="S144" s="568"/>
      <c r="T144" s="620"/>
      <c r="U144" s="607">
        <f t="shared" ref="U144:U150" si="74">IF(T$18&lt;&gt;0,S144-T144,0)</f>
        <v>0</v>
      </c>
      <c r="V144" s="608">
        <f t="shared" ref="V144:V150" si="75">J144+M144+P144+S144</f>
        <v>0</v>
      </c>
      <c r="W144" s="609">
        <f t="shared" ref="W144:W150" si="76">SUM(IF(K$6&lt;&gt;0,K144,J144)+IF(N$6&lt;&gt;0,N144,M144)+IF(Q$6&lt;&gt;0,Q144,P144)+IF(T$6&lt;&gt;0,T144,S144))</f>
        <v>0</v>
      </c>
      <c r="X144" s="606">
        <f t="shared" ref="X144:X150" si="77">V144-W144</f>
        <v>0</v>
      </c>
      <c r="Y144" s="610">
        <f t="shared" ref="Y144:Y150" si="78">I144-V144</f>
        <v>0</v>
      </c>
      <c r="Z144" s="611">
        <f t="shared" ref="Z144:Z150" si="79">I144-W144</f>
        <v>0</v>
      </c>
      <c r="AA144" s="240"/>
    </row>
    <row r="145" spans="1:27" ht="15">
      <c r="A145" s="435">
        <f t="shared" si="69"/>
        <v>145</v>
      </c>
      <c r="B145" s="77"/>
      <c r="C145" s="41"/>
      <c r="D145" s="45" t="s">
        <v>4</v>
      </c>
      <c r="E145" s="44"/>
      <c r="F145" s="44"/>
      <c r="G145" s="104"/>
      <c r="H145" s="205"/>
      <c r="I145" s="571"/>
      <c r="J145" s="570"/>
      <c r="K145" s="618"/>
      <c r="L145" s="606">
        <f t="shared" si="71"/>
        <v>0</v>
      </c>
      <c r="M145" s="568"/>
      <c r="N145" s="620"/>
      <c r="O145" s="606">
        <f t="shared" si="72"/>
        <v>0</v>
      </c>
      <c r="P145" s="568"/>
      <c r="Q145" s="620"/>
      <c r="R145" s="606">
        <f t="shared" si="73"/>
        <v>0</v>
      </c>
      <c r="S145" s="568"/>
      <c r="T145" s="620"/>
      <c r="U145" s="607">
        <f t="shared" si="74"/>
        <v>0</v>
      </c>
      <c r="V145" s="608">
        <f t="shared" si="75"/>
        <v>0</v>
      </c>
      <c r="W145" s="609">
        <f t="shared" si="76"/>
        <v>0</v>
      </c>
      <c r="X145" s="606">
        <f t="shared" si="77"/>
        <v>0</v>
      </c>
      <c r="Y145" s="610">
        <f t="shared" si="78"/>
        <v>0</v>
      </c>
      <c r="Z145" s="611">
        <f t="shared" si="79"/>
        <v>0</v>
      </c>
      <c r="AA145" s="240"/>
    </row>
    <row r="146" spans="1:27" ht="15">
      <c r="A146" s="435">
        <f t="shared" si="69"/>
        <v>146</v>
      </c>
      <c r="B146" s="77"/>
      <c r="C146" s="41"/>
      <c r="D146" s="41" t="s">
        <v>346</v>
      </c>
      <c r="E146" s="44"/>
      <c r="F146" s="44"/>
      <c r="G146" s="104"/>
      <c r="H146" s="205"/>
      <c r="I146" s="571"/>
      <c r="J146" s="567"/>
      <c r="K146" s="618"/>
      <c r="L146" s="606">
        <f t="shared" si="71"/>
        <v>0</v>
      </c>
      <c r="M146" s="568"/>
      <c r="N146" s="620"/>
      <c r="O146" s="606">
        <f t="shared" si="72"/>
        <v>0</v>
      </c>
      <c r="P146" s="568"/>
      <c r="Q146" s="620"/>
      <c r="R146" s="606">
        <f t="shared" si="73"/>
        <v>0</v>
      </c>
      <c r="S146" s="568"/>
      <c r="T146" s="620"/>
      <c r="U146" s="607">
        <f t="shared" si="74"/>
        <v>0</v>
      </c>
      <c r="V146" s="608">
        <f t="shared" si="75"/>
        <v>0</v>
      </c>
      <c r="W146" s="609">
        <f t="shared" si="76"/>
        <v>0</v>
      </c>
      <c r="X146" s="606">
        <f t="shared" si="77"/>
        <v>0</v>
      </c>
      <c r="Y146" s="610">
        <f t="shared" si="78"/>
        <v>0</v>
      </c>
      <c r="Z146" s="611">
        <f t="shared" si="79"/>
        <v>0</v>
      </c>
      <c r="AA146" s="240"/>
    </row>
    <row r="147" spans="1:27" ht="15">
      <c r="A147" s="435">
        <f t="shared" si="69"/>
        <v>147</v>
      </c>
      <c r="B147" s="77"/>
      <c r="C147" s="41"/>
      <c r="D147" s="41" t="s">
        <v>54</v>
      </c>
      <c r="E147" s="44"/>
      <c r="F147" s="44"/>
      <c r="G147" s="104"/>
      <c r="H147" s="205"/>
      <c r="I147" s="571"/>
      <c r="J147" s="570"/>
      <c r="K147" s="618"/>
      <c r="L147" s="606">
        <f t="shared" si="71"/>
        <v>0</v>
      </c>
      <c r="M147" s="568"/>
      <c r="N147" s="620"/>
      <c r="O147" s="606">
        <f t="shared" si="72"/>
        <v>0</v>
      </c>
      <c r="P147" s="568"/>
      <c r="Q147" s="620"/>
      <c r="R147" s="606">
        <f t="shared" si="73"/>
        <v>0</v>
      </c>
      <c r="S147" s="568"/>
      <c r="T147" s="620"/>
      <c r="U147" s="607">
        <f t="shared" si="74"/>
        <v>0</v>
      </c>
      <c r="V147" s="608">
        <f t="shared" si="75"/>
        <v>0</v>
      </c>
      <c r="W147" s="609">
        <f t="shared" si="76"/>
        <v>0</v>
      </c>
      <c r="X147" s="606">
        <f t="shared" si="77"/>
        <v>0</v>
      </c>
      <c r="Y147" s="610">
        <f t="shared" si="78"/>
        <v>0</v>
      </c>
      <c r="Z147" s="611">
        <f t="shared" si="79"/>
        <v>0</v>
      </c>
      <c r="AA147" s="240"/>
    </row>
    <row r="148" spans="1:27" ht="15">
      <c r="A148" s="435">
        <f t="shared" si="69"/>
        <v>148</v>
      </c>
      <c r="B148" s="77"/>
      <c r="C148" s="41"/>
      <c r="D148" s="41" t="s">
        <v>56</v>
      </c>
      <c r="E148" s="44"/>
      <c r="F148" s="44"/>
      <c r="G148" s="104"/>
      <c r="H148" s="205"/>
      <c r="I148" s="571"/>
      <c r="J148" s="570"/>
      <c r="K148" s="618"/>
      <c r="L148" s="606">
        <f t="shared" si="71"/>
        <v>0</v>
      </c>
      <c r="M148" s="568"/>
      <c r="N148" s="620"/>
      <c r="O148" s="606">
        <f t="shared" si="72"/>
        <v>0</v>
      </c>
      <c r="P148" s="568"/>
      <c r="Q148" s="620"/>
      <c r="R148" s="606">
        <f t="shared" si="73"/>
        <v>0</v>
      </c>
      <c r="S148" s="568"/>
      <c r="T148" s="620"/>
      <c r="U148" s="607">
        <f t="shared" si="74"/>
        <v>0</v>
      </c>
      <c r="V148" s="608">
        <f t="shared" si="75"/>
        <v>0</v>
      </c>
      <c r="W148" s="609">
        <f t="shared" si="76"/>
        <v>0</v>
      </c>
      <c r="X148" s="606">
        <f t="shared" si="77"/>
        <v>0</v>
      </c>
      <c r="Y148" s="610">
        <f t="shared" si="78"/>
        <v>0</v>
      </c>
      <c r="Z148" s="611">
        <f t="shared" si="79"/>
        <v>0</v>
      </c>
      <c r="AA148" s="240"/>
    </row>
    <row r="149" spans="1:27" ht="15">
      <c r="A149" s="435">
        <f t="shared" si="69"/>
        <v>149</v>
      </c>
      <c r="B149" s="77"/>
      <c r="C149" s="41"/>
      <c r="D149" s="45" t="s">
        <v>7</v>
      </c>
      <c r="E149" s="44"/>
      <c r="F149" s="44"/>
      <c r="G149" s="104"/>
      <c r="H149" s="205"/>
      <c r="I149" s="612"/>
      <c r="J149" s="570"/>
      <c r="K149" s="618"/>
      <c r="L149" s="606">
        <f t="shared" si="71"/>
        <v>0</v>
      </c>
      <c r="M149" s="568"/>
      <c r="N149" s="620"/>
      <c r="O149" s="606">
        <f t="shared" si="72"/>
        <v>0</v>
      </c>
      <c r="P149" s="568"/>
      <c r="Q149" s="620"/>
      <c r="R149" s="606">
        <f t="shared" si="73"/>
        <v>0</v>
      </c>
      <c r="S149" s="568"/>
      <c r="T149" s="620"/>
      <c r="U149" s="607">
        <f t="shared" si="74"/>
        <v>0</v>
      </c>
      <c r="V149" s="608">
        <f t="shared" si="75"/>
        <v>0</v>
      </c>
      <c r="W149" s="609">
        <f t="shared" si="76"/>
        <v>0</v>
      </c>
      <c r="X149" s="606">
        <f t="shared" si="77"/>
        <v>0</v>
      </c>
      <c r="Y149" s="610">
        <f t="shared" si="78"/>
        <v>0</v>
      </c>
      <c r="Z149" s="611">
        <f t="shared" si="79"/>
        <v>0</v>
      </c>
      <c r="AA149" s="240"/>
    </row>
    <row r="150" spans="1:27" ht="17.25">
      <c r="A150" s="435">
        <f t="shared" si="69"/>
        <v>150</v>
      </c>
      <c r="B150" s="77"/>
      <c r="C150" s="41"/>
      <c r="D150" s="41" t="s">
        <v>9</v>
      </c>
      <c r="E150" s="44"/>
      <c r="F150" s="44"/>
      <c r="G150" s="104"/>
      <c r="H150" s="205"/>
      <c r="I150" s="623"/>
      <c r="J150" s="569"/>
      <c r="K150" s="625"/>
      <c r="L150" s="626">
        <f t="shared" si="71"/>
        <v>0</v>
      </c>
      <c r="M150" s="569"/>
      <c r="N150" s="628"/>
      <c r="O150" s="626">
        <f t="shared" si="72"/>
        <v>0</v>
      </c>
      <c r="P150" s="569"/>
      <c r="Q150" s="628"/>
      <c r="R150" s="626">
        <f t="shared" si="73"/>
        <v>0</v>
      </c>
      <c r="S150" s="569"/>
      <c r="T150" s="628"/>
      <c r="U150" s="629">
        <f t="shared" si="74"/>
        <v>0</v>
      </c>
      <c r="V150" s="630">
        <f t="shared" si="75"/>
        <v>0</v>
      </c>
      <c r="W150" s="631">
        <f t="shared" si="76"/>
        <v>0</v>
      </c>
      <c r="X150" s="626">
        <f t="shared" si="77"/>
        <v>0</v>
      </c>
      <c r="Y150" s="632">
        <f t="shared" si="78"/>
        <v>0</v>
      </c>
      <c r="Z150" s="633">
        <f t="shared" si="79"/>
        <v>0</v>
      </c>
      <c r="AA150" s="240"/>
    </row>
    <row r="151" spans="1:27" ht="15">
      <c r="A151" s="435">
        <f t="shared" si="69"/>
        <v>151</v>
      </c>
      <c r="B151" s="77"/>
      <c r="C151" s="33" t="s">
        <v>90</v>
      </c>
      <c r="D151" s="41"/>
      <c r="E151" s="103"/>
      <c r="F151" s="103"/>
      <c r="G151" s="104"/>
      <c r="H151" s="205"/>
      <c r="I151" s="621">
        <f t="shared" ref="I151:Z151" si="80">SUM(I144:I150)</f>
        <v>0</v>
      </c>
      <c r="J151" s="604">
        <f t="shared" si="80"/>
        <v>0</v>
      </c>
      <c r="K151" s="614">
        <f t="shared" si="80"/>
        <v>0</v>
      </c>
      <c r="L151" s="614">
        <f t="shared" si="80"/>
        <v>0</v>
      </c>
      <c r="M151" s="604">
        <f t="shared" si="80"/>
        <v>0</v>
      </c>
      <c r="N151" s="614">
        <f t="shared" si="80"/>
        <v>0</v>
      </c>
      <c r="O151" s="614">
        <f t="shared" si="80"/>
        <v>0</v>
      </c>
      <c r="P151" s="604">
        <f t="shared" si="80"/>
        <v>0</v>
      </c>
      <c r="Q151" s="614">
        <f t="shared" si="80"/>
        <v>0</v>
      </c>
      <c r="R151" s="614">
        <f t="shared" si="80"/>
        <v>0</v>
      </c>
      <c r="S151" s="604">
        <f t="shared" si="80"/>
        <v>0</v>
      </c>
      <c r="T151" s="614">
        <f t="shared" si="80"/>
        <v>0</v>
      </c>
      <c r="U151" s="615">
        <f t="shared" si="80"/>
        <v>0</v>
      </c>
      <c r="V151" s="608">
        <f t="shared" si="80"/>
        <v>0</v>
      </c>
      <c r="W151" s="614">
        <f t="shared" si="80"/>
        <v>0</v>
      </c>
      <c r="X151" s="616">
        <f t="shared" si="80"/>
        <v>0</v>
      </c>
      <c r="Y151" s="610">
        <f t="shared" si="80"/>
        <v>0</v>
      </c>
      <c r="Z151" s="611">
        <f t="shared" si="80"/>
        <v>0</v>
      </c>
      <c r="AA151" s="240"/>
    </row>
    <row r="152" spans="1:27" ht="15">
      <c r="A152" s="435">
        <f t="shared" si="69"/>
        <v>152</v>
      </c>
      <c r="B152" s="77"/>
      <c r="C152" s="100"/>
      <c r="D152" s="41"/>
      <c r="E152" s="103"/>
      <c r="F152" s="103"/>
      <c r="G152" s="104"/>
      <c r="H152" s="205"/>
      <c r="I152" s="621"/>
      <c r="J152" s="621"/>
      <c r="K152" s="621"/>
      <c r="L152" s="621"/>
      <c r="M152" s="621"/>
      <c r="N152" s="621"/>
      <c r="O152" s="621"/>
      <c r="P152" s="621"/>
      <c r="Q152" s="621"/>
      <c r="R152" s="621"/>
      <c r="S152" s="621"/>
      <c r="T152" s="621"/>
      <c r="U152" s="611"/>
      <c r="V152" s="621"/>
      <c r="W152" s="621"/>
      <c r="X152" s="621"/>
      <c r="Y152" s="621"/>
      <c r="Z152" s="611"/>
      <c r="AA152" s="240"/>
    </row>
    <row r="153" spans="1:27" ht="15">
      <c r="A153" s="435">
        <f t="shared" si="69"/>
        <v>153</v>
      </c>
      <c r="B153" s="77"/>
      <c r="C153" s="100" t="s">
        <v>91</v>
      </c>
      <c r="D153" s="41"/>
      <c r="E153" s="103"/>
      <c r="F153" s="103"/>
      <c r="G153" s="104"/>
      <c r="H153" s="205"/>
      <c r="I153" s="571"/>
      <c r="J153" s="570"/>
      <c r="K153" s="618"/>
      <c r="L153" s="606">
        <f>IF(K$18&lt;&gt;0,J153-K153,0)</f>
        <v>0</v>
      </c>
      <c r="M153" s="619"/>
      <c r="N153" s="620"/>
      <c r="O153" s="606">
        <f>IF(N$18&lt;&gt;0,M153-N153,0)</f>
        <v>0</v>
      </c>
      <c r="P153" s="619"/>
      <c r="Q153" s="620"/>
      <c r="R153" s="606">
        <f>IF(Q$18&lt;&gt;0,P153-Q153,0)</f>
        <v>0</v>
      </c>
      <c r="S153" s="619"/>
      <c r="T153" s="620"/>
      <c r="U153" s="607">
        <f>IF(T$18&lt;&gt;0,S153-T153,0)</f>
        <v>0</v>
      </c>
      <c r="V153" s="608">
        <f>J153+M153+P153+S153</f>
        <v>0</v>
      </c>
      <c r="W153" s="609">
        <f>SUM(IF(K$6&lt;&gt;0,K153,J153)+IF(N$6&lt;&gt;0,N153,M153)+IF(Q$6&lt;&gt;0,Q153,P153)+IF(T$6&lt;&gt;0,T153,S153))</f>
        <v>0</v>
      </c>
      <c r="X153" s="606">
        <f>V153-W153</f>
        <v>0</v>
      </c>
      <c r="Y153" s="610">
        <f>I153-V153</f>
        <v>0</v>
      </c>
      <c r="Z153" s="611">
        <f>I153-W153</f>
        <v>0</v>
      </c>
      <c r="AA153" s="240"/>
    </row>
    <row r="154" spans="1:27" ht="15">
      <c r="A154" s="435">
        <f t="shared" si="69"/>
        <v>154</v>
      </c>
      <c r="B154" s="77"/>
      <c r="C154" s="100" t="s">
        <v>640</v>
      </c>
      <c r="D154" s="41"/>
      <c r="E154" s="103"/>
      <c r="F154" s="103"/>
      <c r="G154" s="104"/>
      <c r="H154" s="205"/>
      <c r="I154" s="571"/>
      <c r="J154" s="570"/>
      <c r="K154" s="618"/>
      <c r="L154" s="606">
        <f>IF(K$18&lt;&gt;0,J154-K154,0)</f>
        <v>0</v>
      </c>
      <c r="M154" s="619"/>
      <c r="N154" s="620"/>
      <c r="O154" s="606">
        <f>IF(N$18&lt;&gt;0,M154-N154,0)</f>
        <v>0</v>
      </c>
      <c r="P154" s="619"/>
      <c r="Q154" s="620"/>
      <c r="R154" s="606">
        <f>IF(Q$18&lt;&gt;0,P154-Q154,0)</f>
        <v>0</v>
      </c>
      <c r="S154" s="619"/>
      <c r="T154" s="620"/>
      <c r="U154" s="607">
        <f>IF(T$18&lt;&gt;0,S154-T154,0)</f>
        <v>0</v>
      </c>
      <c r="V154" s="608">
        <f>J154+M154+P154+S154</f>
        <v>0</v>
      </c>
      <c r="W154" s="609">
        <f>SUM(IF(K$6&lt;&gt;0,K154,J154)+IF(N$6&lt;&gt;0,N154,M154)+IF(Q$6&lt;&gt;0,Q154,P154)+IF(T$6&lt;&gt;0,T154,S154))</f>
        <v>0</v>
      </c>
      <c r="X154" s="606">
        <f>V154-W154</f>
        <v>0</v>
      </c>
      <c r="Y154" s="610">
        <f>I154-V154</f>
        <v>0</v>
      </c>
      <c r="Z154" s="611">
        <f>I154-W154</f>
        <v>0</v>
      </c>
      <c r="AA154" s="240"/>
    </row>
    <row r="155" spans="1:27" ht="15">
      <c r="A155" s="435">
        <f t="shared" si="69"/>
        <v>155</v>
      </c>
      <c r="B155" s="77"/>
      <c r="C155" s="100" t="s">
        <v>573</v>
      </c>
      <c r="D155" s="41"/>
      <c r="E155" s="103"/>
      <c r="F155" s="103"/>
      <c r="G155" s="104"/>
      <c r="H155" s="205"/>
      <c r="I155" s="571"/>
      <c r="J155" s="570"/>
      <c r="K155" s="618"/>
      <c r="L155" s="606">
        <f>IF(K$18&lt;&gt;0,J155-K155,0)</f>
        <v>0</v>
      </c>
      <c r="M155" s="619"/>
      <c r="N155" s="620"/>
      <c r="O155" s="606">
        <f>IF(N$18&lt;&gt;0,M155-N155,0)</f>
        <v>0</v>
      </c>
      <c r="P155" s="619"/>
      <c r="Q155" s="620"/>
      <c r="R155" s="606">
        <f>IF(Q$18&lt;&gt;0,P155-Q155,0)</f>
        <v>0</v>
      </c>
      <c r="S155" s="619"/>
      <c r="T155" s="620"/>
      <c r="U155" s="607">
        <f>IF(T$18&lt;&gt;0,S155-T155,0)</f>
        <v>0</v>
      </c>
      <c r="V155" s="608">
        <f>J155+M155+P155+S155</f>
        <v>0</v>
      </c>
      <c r="W155" s="609">
        <f>SUM(IF(K$6&lt;&gt;0,K155,J155)+IF(N$6&lt;&gt;0,N155,M155)+IF(Q$6&lt;&gt;0,Q155,P155)+IF(T$6&lt;&gt;0,T155,S155))</f>
        <v>0</v>
      </c>
      <c r="X155" s="606">
        <f>V155-W155</f>
        <v>0</v>
      </c>
      <c r="Y155" s="610">
        <f>I155-V155</f>
        <v>0</v>
      </c>
      <c r="Z155" s="611">
        <f>I155-W155</f>
        <v>0</v>
      </c>
      <c r="AA155" s="240"/>
    </row>
    <row r="156" spans="1:27" ht="15">
      <c r="A156" s="435">
        <f t="shared" si="69"/>
        <v>156</v>
      </c>
      <c r="B156" s="77"/>
      <c r="C156" s="100"/>
      <c r="D156" s="41"/>
      <c r="E156" s="103"/>
      <c r="F156" s="103"/>
      <c r="G156" s="104"/>
      <c r="H156" s="205"/>
      <c r="I156" s="621"/>
      <c r="J156" s="621"/>
      <c r="K156" s="621"/>
      <c r="L156" s="621"/>
      <c r="M156" s="621"/>
      <c r="N156" s="621"/>
      <c r="O156" s="621"/>
      <c r="P156" s="621"/>
      <c r="Q156" s="621"/>
      <c r="R156" s="621"/>
      <c r="S156" s="621"/>
      <c r="T156" s="621"/>
      <c r="U156" s="611"/>
      <c r="V156" s="621"/>
      <c r="W156" s="621"/>
      <c r="X156" s="621"/>
      <c r="Y156" s="621"/>
      <c r="Z156" s="611"/>
      <c r="AA156" s="240"/>
    </row>
    <row r="157" spans="1:27" ht="17.25">
      <c r="A157" s="435">
        <f t="shared" si="69"/>
        <v>157</v>
      </c>
      <c r="B157" s="74" t="s">
        <v>55</v>
      </c>
      <c r="C157" s="75"/>
      <c r="D157" s="75"/>
      <c r="E157" s="53"/>
      <c r="F157" s="53"/>
      <c r="G157" s="48"/>
      <c r="H157" s="460"/>
      <c r="I157" s="664">
        <f>I106+I118+I141+I151+I153+I154+I155</f>
        <v>0</v>
      </c>
      <c r="J157" s="664">
        <f t="shared" ref="J157:Z157" si="81">J106+J118+J141+J151+J153+J154+J155</f>
        <v>0</v>
      </c>
      <c r="K157" s="664">
        <f t="shared" si="81"/>
        <v>0</v>
      </c>
      <c r="L157" s="664">
        <f t="shared" si="81"/>
        <v>0</v>
      </c>
      <c r="M157" s="664">
        <f t="shared" si="81"/>
        <v>0</v>
      </c>
      <c r="N157" s="664">
        <f t="shared" si="81"/>
        <v>0</v>
      </c>
      <c r="O157" s="664">
        <f t="shared" si="81"/>
        <v>0</v>
      </c>
      <c r="P157" s="664">
        <f t="shared" si="81"/>
        <v>0</v>
      </c>
      <c r="Q157" s="664">
        <f t="shared" si="81"/>
        <v>0</v>
      </c>
      <c r="R157" s="664">
        <f t="shared" si="81"/>
        <v>0</v>
      </c>
      <c r="S157" s="664">
        <f t="shared" si="81"/>
        <v>0</v>
      </c>
      <c r="T157" s="664">
        <f t="shared" si="81"/>
        <v>0</v>
      </c>
      <c r="U157" s="664">
        <f t="shared" si="81"/>
        <v>0</v>
      </c>
      <c r="V157" s="664">
        <f t="shared" si="81"/>
        <v>0</v>
      </c>
      <c r="W157" s="664">
        <f t="shared" si="81"/>
        <v>0</v>
      </c>
      <c r="X157" s="664">
        <f t="shared" si="81"/>
        <v>0</v>
      </c>
      <c r="Y157" s="664">
        <f t="shared" si="81"/>
        <v>0</v>
      </c>
      <c r="Z157" s="664">
        <f t="shared" si="81"/>
        <v>0</v>
      </c>
      <c r="AA157" s="240"/>
    </row>
    <row r="158" spans="1:27" ht="15">
      <c r="A158" s="435">
        <f t="shared" si="69"/>
        <v>158</v>
      </c>
      <c r="B158" s="77"/>
      <c r="C158" s="41"/>
      <c r="D158" s="41"/>
      <c r="E158" s="44"/>
      <c r="F158" s="44"/>
      <c r="G158" s="42"/>
      <c r="H158" s="205"/>
      <c r="I158" s="621"/>
      <c r="J158" s="621"/>
      <c r="K158" s="621"/>
      <c r="L158" s="621"/>
      <c r="M158" s="621"/>
      <c r="N158" s="621"/>
      <c r="O158" s="621"/>
      <c r="P158" s="621"/>
      <c r="Q158" s="621"/>
      <c r="R158" s="621"/>
      <c r="S158" s="621"/>
      <c r="T158" s="621"/>
      <c r="U158" s="611"/>
      <c r="V158" s="621"/>
      <c r="W158" s="621"/>
      <c r="X158" s="621"/>
      <c r="Y158" s="621"/>
      <c r="Z158" s="611"/>
      <c r="AA158" s="240"/>
    </row>
    <row r="159" spans="1:27" ht="18" thickBot="1">
      <c r="A159" s="435">
        <f t="shared" si="69"/>
        <v>159</v>
      </c>
      <c r="B159" s="105" t="s">
        <v>96</v>
      </c>
      <c r="C159" s="106"/>
      <c r="D159" s="106"/>
      <c r="E159" s="107"/>
      <c r="F159" s="107"/>
      <c r="G159" s="93"/>
      <c r="H159" s="461"/>
      <c r="I159" s="638">
        <f>I66-I157</f>
        <v>0</v>
      </c>
      <c r="J159" s="641">
        <f>J66-J157</f>
        <v>0</v>
      </c>
      <c r="K159" s="642">
        <f>K66-K157</f>
        <v>0</v>
      </c>
      <c r="L159" s="642">
        <f>L66+L157</f>
        <v>0</v>
      </c>
      <c r="M159" s="641">
        <f>M66-M157</f>
        <v>0</v>
      </c>
      <c r="N159" s="642">
        <f>N66-N157</f>
        <v>0</v>
      </c>
      <c r="O159" s="642">
        <f>O66+O157</f>
        <v>0</v>
      </c>
      <c r="P159" s="641">
        <f>P66-P157</f>
        <v>0</v>
      </c>
      <c r="Q159" s="642">
        <f>Q66-Q157</f>
        <v>0</v>
      </c>
      <c r="R159" s="642">
        <f>R66+R157</f>
        <v>0</v>
      </c>
      <c r="S159" s="641">
        <f>S66-S157</f>
        <v>0</v>
      </c>
      <c r="T159" s="642">
        <f>T66-T157</f>
        <v>0</v>
      </c>
      <c r="U159" s="665">
        <f>U66+U157</f>
        <v>0</v>
      </c>
      <c r="V159" s="666">
        <f>V66-V157</f>
        <v>0</v>
      </c>
      <c r="W159" s="642">
        <f>W66-W157</f>
        <v>0</v>
      </c>
      <c r="X159" s="667">
        <f>X66+X157</f>
        <v>0</v>
      </c>
      <c r="Y159" s="668">
        <f>Y66+Y157</f>
        <v>0</v>
      </c>
      <c r="Z159" s="669">
        <f>Z66+Z157</f>
        <v>0</v>
      </c>
      <c r="AA159" s="240"/>
    </row>
    <row r="160" spans="1:27" ht="19.5" thickTop="1">
      <c r="A160" s="435">
        <f t="shared" si="69"/>
        <v>160</v>
      </c>
      <c r="B160" s="220"/>
      <c r="C160" s="263"/>
      <c r="D160" s="263"/>
      <c r="E160" s="97"/>
      <c r="F160" s="97"/>
      <c r="G160" s="98"/>
      <c r="H160" s="462"/>
      <c r="I160" s="264"/>
      <c r="J160" s="264"/>
      <c r="K160" s="264"/>
      <c r="L160" s="264"/>
      <c r="M160" s="264"/>
      <c r="N160" s="264"/>
      <c r="O160" s="264"/>
      <c r="P160" s="264"/>
      <c r="Q160" s="264"/>
      <c r="R160" s="264"/>
      <c r="S160" s="264"/>
      <c r="T160" s="264"/>
      <c r="U160" s="449"/>
      <c r="V160" s="450"/>
      <c r="W160" s="265"/>
      <c r="X160" s="264"/>
      <c r="Y160" s="265"/>
      <c r="Z160" s="447"/>
      <c r="AA160" s="448"/>
    </row>
    <row r="161" spans="1:27" ht="15">
      <c r="A161" s="435">
        <f t="shared" si="69"/>
        <v>161</v>
      </c>
      <c r="B161" s="74" t="s">
        <v>92</v>
      </c>
      <c r="C161" s="1"/>
      <c r="D161" s="1"/>
      <c r="E161" s="53"/>
      <c r="F161" s="53"/>
      <c r="G161" s="48"/>
      <c r="H161" s="463"/>
      <c r="I161" s="108"/>
      <c r="J161" s="108"/>
      <c r="K161" s="108"/>
      <c r="L161" s="108"/>
      <c r="M161" s="108"/>
      <c r="N161" s="108"/>
      <c r="O161" s="108"/>
      <c r="P161" s="108"/>
      <c r="Q161" s="108"/>
      <c r="R161" s="108"/>
      <c r="S161" s="108"/>
      <c r="T161" s="108"/>
      <c r="U161" s="109"/>
      <c r="V161" s="130"/>
      <c r="W161" s="130"/>
      <c r="X161" s="108"/>
      <c r="Y161" s="130"/>
      <c r="Z161" s="503"/>
      <c r="AA161" s="805"/>
    </row>
    <row r="162" spans="1:27" s="496" customFormat="1" ht="15">
      <c r="A162" s="435">
        <f t="shared" si="69"/>
        <v>162</v>
      </c>
      <c r="B162" s="242"/>
      <c r="C162" s="75"/>
      <c r="D162" s="75" t="s">
        <v>335</v>
      </c>
      <c r="E162" s="78"/>
      <c r="F162" s="78"/>
      <c r="G162" s="47"/>
      <c r="H162" s="493"/>
      <c r="I162" s="670">
        <f>'2.) Enrollment'!E16</f>
        <v>0</v>
      </c>
      <c r="J162" s="671">
        <f>'2.) Enrollment'!G16</f>
        <v>0</v>
      </c>
      <c r="K162" s="671">
        <f>'2.) Enrollment'!H16</f>
        <v>0</v>
      </c>
      <c r="L162" s="606">
        <f t="shared" ref="L162:L178" si="82">IF(K$163&gt;0,K162-J162,0)</f>
        <v>0</v>
      </c>
      <c r="M162" s="672">
        <f>'2.) Enrollment'!I16</f>
        <v>0</v>
      </c>
      <c r="N162" s="672">
        <f>'2.) Enrollment'!J16</f>
        <v>0</v>
      </c>
      <c r="O162" s="606">
        <f t="shared" ref="O162:O178" si="83">IF(N$163&gt;0,N162-M162,0)</f>
        <v>0</v>
      </c>
      <c r="P162" s="604">
        <f>'2.) Enrollment'!K16</f>
        <v>0</v>
      </c>
      <c r="Q162" s="604">
        <f>'2.) Enrollment'!L16</f>
        <v>0</v>
      </c>
      <c r="R162" s="606">
        <f t="shared" ref="R162:R178" si="84">IF(Q$163&gt;0,Q162-P162,0)</f>
        <v>0</v>
      </c>
      <c r="S162" s="604">
        <f>'2.) Enrollment'!M16</f>
        <v>0</v>
      </c>
      <c r="T162" s="604">
        <f>'2.) Enrollment'!N16</f>
        <v>0</v>
      </c>
      <c r="U162" s="607">
        <f t="shared" ref="U162:U178" si="85">IF(T$163&gt;0,T162-S162,0)</f>
        <v>0</v>
      </c>
      <c r="V162" s="494"/>
      <c r="W162" s="494"/>
      <c r="X162" s="119"/>
      <c r="Y162" s="494"/>
      <c r="Z162" s="495"/>
      <c r="AA162" s="244"/>
    </row>
    <row r="163" spans="1:27" ht="15">
      <c r="A163" s="435">
        <f t="shared" si="69"/>
        <v>163</v>
      </c>
      <c r="B163" s="77"/>
      <c r="C163" s="41"/>
      <c r="D163" s="41"/>
      <c r="E163" s="1" t="str">
        <f t="shared" ref="E163:E178" si="86">E18</f>
        <v>-</v>
      </c>
      <c r="F163" s="1"/>
      <c r="G163" s="266">
        <f>(IF($K$163&gt;0,K163,J163)+IF($N$163&gt;0,N163,M163)+IF($Q$163&gt;0,Q163,P163)+IF($T$163&gt;0,T163,S163))/4</f>
        <v>0</v>
      </c>
      <c r="H163" s="457"/>
      <c r="I163" s="673">
        <f>'2.) Enrollment'!E22</f>
        <v>0</v>
      </c>
      <c r="J163" s="674">
        <f>'2.) Enrollment'!G22</f>
        <v>0</v>
      </c>
      <c r="K163" s="674">
        <f>'2.) Enrollment'!H22</f>
        <v>0</v>
      </c>
      <c r="L163" s="606">
        <f t="shared" si="82"/>
        <v>0</v>
      </c>
      <c r="M163" s="675">
        <f>'2.) Enrollment'!I22</f>
        <v>0</v>
      </c>
      <c r="N163" s="675">
        <f>'2.) Enrollment'!J22</f>
        <v>0</v>
      </c>
      <c r="O163" s="606">
        <f t="shared" si="83"/>
        <v>0</v>
      </c>
      <c r="P163" s="604">
        <f>'2.) Enrollment'!K22</f>
        <v>0</v>
      </c>
      <c r="Q163" s="604">
        <f>'2.) Enrollment'!L22</f>
        <v>0</v>
      </c>
      <c r="R163" s="606">
        <f t="shared" si="84"/>
        <v>0</v>
      </c>
      <c r="S163" s="604">
        <f>'2.) Enrollment'!M22</f>
        <v>0</v>
      </c>
      <c r="T163" s="604">
        <f>'2.) Enrollment'!N22</f>
        <v>0</v>
      </c>
      <c r="U163" s="607">
        <f t="shared" si="85"/>
        <v>0</v>
      </c>
      <c r="V163" s="76"/>
      <c r="W163" s="76"/>
      <c r="X163" s="76"/>
      <c r="Y163" s="76"/>
      <c r="Z163" s="99"/>
      <c r="AA163" s="240"/>
    </row>
    <row r="164" spans="1:27" ht="15">
      <c r="A164" s="435">
        <f t="shared" si="69"/>
        <v>164</v>
      </c>
      <c r="B164" s="77"/>
      <c r="C164" s="41"/>
      <c r="D164" s="41"/>
      <c r="E164" s="1" t="str">
        <f t="shared" si="86"/>
        <v>-</v>
      </c>
      <c r="F164" s="1"/>
      <c r="G164" s="266">
        <f t="shared" ref="G164:G178" si="87">(IF($K$163&gt;0,K164,J164)+IF($N$163&gt;0,N164,M164)+IF($Q$163&gt;0,Q164,P164)+IF($T$163&gt;0,T164,S164))/4</f>
        <v>0</v>
      </c>
      <c r="H164" s="457"/>
      <c r="I164" s="673">
        <f>'2.) Enrollment'!E23</f>
        <v>0</v>
      </c>
      <c r="J164" s="674">
        <f>'2.) Enrollment'!G23</f>
        <v>0</v>
      </c>
      <c r="K164" s="674">
        <f>'2.) Enrollment'!H23</f>
        <v>0</v>
      </c>
      <c r="L164" s="606">
        <f t="shared" si="82"/>
        <v>0</v>
      </c>
      <c r="M164" s="675">
        <f>'2.) Enrollment'!I23</f>
        <v>0</v>
      </c>
      <c r="N164" s="675">
        <f>'2.) Enrollment'!J23</f>
        <v>0</v>
      </c>
      <c r="O164" s="606">
        <f t="shared" si="83"/>
        <v>0</v>
      </c>
      <c r="P164" s="604">
        <f>'2.) Enrollment'!K23</f>
        <v>0</v>
      </c>
      <c r="Q164" s="604">
        <f>'2.) Enrollment'!L23</f>
        <v>0</v>
      </c>
      <c r="R164" s="606">
        <f t="shared" si="84"/>
        <v>0</v>
      </c>
      <c r="S164" s="604">
        <f>'2.) Enrollment'!M23</f>
        <v>0</v>
      </c>
      <c r="T164" s="604">
        <f>'2.) Enrollment'!N23</f>
        <v>0</v>
      </c>
      <c r="U164" s="607">
        <f t="shared" si="85"/>
        <v>0</v>
      </c>
      <c r="V164" s="76"/>
      <c r="W164" s="76"/>
      <c r="X164" s="76"/>
      <c r="Y164" s="76"/>
      <c r="Z164" s="99"/>
      <c r="AA164" s="240"/>
    </row>
    <row r="165" spans="1:27" ht="15">
      <c r="A165" s="435">
        <f t="shared" si="69"/>
        <v>165</v>
      </c>
      <c r="B165" s="77"/>
      <c r="C165" s="41"/>
      <c r="D165" s="41"/>
      <c r="E165" s="1" t="str">
        <f t="shared" si="86"/>
        <v>-</v>
      </c>
      <c r="F165" s="1"/>
      <c r="G165" s="266">
        <f t="shared" si="87"/>
        <v>0</v>
      </c>
      <c r="H165" s="457"/>
      <c r="I165" s="673">
        <f>'2.) Enrollment'!E24</f>
        <v>0</v>
      </c>
      <c r="J165" s="674">
        <f>'2.) Enrollment'!G24</f>
        <v>0</v>
      </c>
      <c r="K165" s="674">
        <f>'2.) Enrollment'!H24</f>
        <v>0</v>
      </c>
      <c r="L165" s="606">
        <f t="shared" si="82"/>
        <v>0</v>
      </c>
      <c r="M165" s="675">
        <f>'2.) Enrollment'!I24</f>
        <v>0</v>
      </c>
      <c r="N165" s="675">
        <f>'2.) Enrollment'!J24</f>
        <v>0</v>
      </c>
      <c r="O165" s="606">
        <f t="shared" si="83"/>
        <v>0</v>
      </c>
      <c r="P165" s="604">
        <f>'2.) Enrollment'!K24</f>
        <v>0</v>
      </c>
      <c r="Q165" s="604">
        <f>'2.) Enrollment'!L24</f>
        <v>0</v>
      </c>
      <c r="R165" s="606">
        <f t="shared" si="84"/>
        <v>0</v>
      </c>
      <c r="S165" s="604">
        <f>'2.) Enrollment'!M24</f>
        <v>0</v>
      </c>
      <c r="T165" s="604">
        <f>'2.) Enrollment'!N24</f>
        <v>0</v>
      </c>
      <c r="U165" s="607">
        <f t="shared" si="85"/>
        <v>0</v>
      </c>
      <c r="V165" s="76"/>
      <c r="W165" s="76"/>
      <c r="X165" s="76"/>
      <c r="Y165" s="76"/>
      <c r="Z165" s="99"/>
      <c r="AA165" s="240"/>
    </row>
    <row r="166" spans="1:27" ht="15">
      <c r="A166" s="435">
        <f t="shared" si="69"/>
        <v>166</v>
      </c>
      <c r="B166" s="77"/>
      <c r="C166" s="41"/>
      <c r="D166" s="41"/>
      <c r="E166" s="1" t="str">
        <f t="shared" si="86"/>
        <v>-</v>
      </c>
      <c r="F166" s="1"/>
      <c r="G166" s="266">
        <f t="shared" si="87"/>
        <v>0</v>
      </c>
      <c r="H166" s="457"/>
      <c r="I166" s="673">
        <f>'2.) Enrollment'!E25</f>
        <v>0</v>
      </c>
      <c r="J166" s="674">
        <f>'2.) Enrollment'!G25</f>
        <v>0</v>
      </c>
      <c r="K166" s="674">
        <f>'2.) Enrollment'!H25</f>
        <v>0</v>
      </c>
      <c r="L166" s="606">
        <f t="shared" si="82"/>
        <v>0</v>
      </c>
      <c r="M166" s="675">
        <f>'2.) Enrollment'!I25</f>
        <v>0</v>
      </c>
      <c r="N166" s="675">
        <f>'2.) Enrollment'!J25</f>
        <v>0</v>
      </c>
      <c r="O166" s="606">
        <f t="shared" si="83"/>
        <v>0</v>
      </c>
      <c r="P166" s="604">
        <f>'2.) Enrollment'!K25</f>
        <v>0</v>
      </c>
      <c r="Q166" s="604">
        <f>'2.) Enrollment'!L25</f>
        <v>0</v>
      </c>
      <c r="R166" s="606">
        <f t="shared" si="84"/>
        <v>0</v>
      </c>
      <c r="S166" s="604">
        <f>'2.) Enrollment'!M25</f>
        <v>0</v>
      </c>
      <c r="T166" s="604">
        <f>'2.) Enrollment'!N25</f>
        <v>0</v>
      </c>
      <c r="U166" s="607">
        <f t="shared" si="85"/>
        <v>0</v>
      </c>
      <c r="V166" s="76"/>
      <c r="W166" s="76"/>
      <c r="X166" s="76"/>
      <c r="Y166" s="76"/>
      <c r="Z166" s="99"/>
      <c r="AA166" s="240"/>
    </row>
    <row r="167" spans="1:27" ht="15">
      <c r="A167" s="435">
        <f t="shared" si="69"/>
        <v>167</v>
      </c>
      <c r="B167" s="77"/>
      <c r="C167" s="41"/>
      <c r="D167" s="41"/>
      <c r="E167" s="1" t="str">
        <f t="shared" si="86"/>
        <v>-</v>
      </c>
      <c r="F167" s="1"/>
      <c r="G167" s="266">
        <f t="shared" si="87"/>
        <v>0</v>
      </c>
      <c r="H167" s="457"/>
      <c r="I167" s="673">
        <f>'2.) Enrollment'!E26</f>
        <v>0</v>
      </c>
      <c r="J167" s="674">
        <f>'2.) Enrollment'!G26</f>
        <v>0</v>
      </c>
      <c r="K167" s="674">
        <f>'2.) Enrollment'!H26</f>
        <v>0</v>
      </c>
      <c r="L167" s="606">
        <f t="shared" si="82"/>
        <v>0</v>
      </c>
      <c r="M167" s="675">
        <f>'2.) Enrollment'!I26</f>
        <v>0</v>
      </c>
      <c r="N167" s="675">
        <f>'2.) Enrollment'!J26</f>
        <v>0</v>
      </c>
      <c r="O167" s="606">
        <f t="shared" si="83"/>
        <v>0</v>
      </c>
      <c r="P167" s="604">
        <f>'2.) Enrollment'!K26</f>
        <v>0</v>
      </c>
      <c r="Q167" s="604">
        <f>'2.) Enrollment'!L26</f>
        <v>0</v>
      </c>
      <c r="R167" s="606">
        <f t="shared" si="84"/>
        <v>0</v>
      </c>
      <c r="S167" s="604">
        <f>'2.) Enrollment'!M26</f>
        <v>0</v>
      </c>
      <c r="T167" s="604">
        <f>'2.) Enrollment'!N26</f>
        <v>0</v>
      </c>
      <c r="U167" s="607">
        <f t="shared" si="85"/>
        <v>0</v>
      </c>
      <c r="V167" s="76"/>
      <c r="W167" s="76"/>
      <c r="X167" s="76"/>
      <c r="Y167" s="76"/>
      <c r="Z167" s="99"/>
      <c r="AA167" s="240"/>
    </row>
    <row r="168" spans="1:27" ht="15">
      <c r="A168" s="435">
        <f t="shared" si="69"/>
        <v>168</v>
      </c>
      <c r="B168" s="77"/>
      <c r="C168" s="41"/>
      <c r="D168" s="41"/>
      <c r="E168" s="1" t="str">
        <f t="shared" si="86"/>
        <v>-</v>
      </c>
      <c r="F168" s="1"/>
      <c r="G168" s="266">
        <f t="shared" si="87"/>
        <v>0</v>
      </c>
      <c r="H168" s="457"/>
      <c r="I168" s="673">
        <f>'2.) Enrollment'!E27</f>
        <v>0</v>
      </c>
      <c r="J168" s="674">
        <f>'2.) Enrollment'!G27</f>
        <v>0</v>
      </c>
      <c r="K168" s="674">
        <f>'2.) Enrollment'!H27</f>
        <v>0</v>
      </c>
      <c r="L168" s="606">
        <f t="shared" si="82"/>
        <v>0</v>
      </c>
      <c r="M168" s="675">
        <f>'2.) Enrollment'!I27</f>
        <v>0</v>
      </c>
      <c r="N168" s="675">
        <f>'2.) Enrollment'!J27</f>
        <v>0</v>
      </c>
      <c r="O168" s="606">
        <f t="shared" si="83"/>
        <v>0</v>
      </c>
      <c r="P168" s="604">
        <f>'2.) Enrollment'!K27</f>
        <v>0</v>
      </c>
      <c r="Q168" s="604">
        <f>'2.) Enrollment'!L27</f>
        <v>0</v>
      </c>
      <c r="R168" s="606">
        <f t="shared" si="84"/>
        <v>0</v>
      </c>
      <c r="S168" s="604">
        <f>'2.) Enrollment'!M27</f>
        <v>0</v>
      </c>
      <c r="T168" s="604">
        <f>'2.) Enrollment'!N27</f>
        <v>0</v>
      </c>
      <c r="U168" s="607">
        <f t="shared" si="85"/>
        <v>0</v>
      </c>
      <c r="V168" s="76"/>
      <c r="W168" s="76"/>
      <c r="X168" s="76"/>
      <c r="Y168" s="76"/>
      <c r="Z168" s="99"/>
      <c r="AA168" s="240"/>
    </row>
    <row r="169" spans="1:27" ht="15">
      <c r="A169" s="435">
        <f t="shared" si="69"/>
        <v>169</v>
      </c>
      <c r="B169" s="77"/>
      <c r="C169" s="41"/>
      <c r="D169" s="41"/>
      <c r="E169" s="1" t="str">
        <f t="shared" si="86"/>
        <v>-</v>
      </c>
      <c r="F169" s="1"/>
      <c r="G169" s="266">
        <f t="shared" si="87"/>
        <v>0</v>
      </c>
      <c r="H169" s="457"/>
      <c r="I169" s="673">
        <f>'2.) Enrollment'!E28</f>
        <v>0</v>
      </c>
      <c r="J169" s="674">
        <f>'2.) Enrollment'!G28</f>
        <v>0</v>
      </c>
      <c r="K169" s="674">
        <f>'2.) Enrollment'!H28</f>
        <v>0</v>
      </c>
      <c r="L169" s="606">
        <f t="shared" si="82"/>
        <v>0</v>
      </c>
      <c r="M169" s="675">
        <f>'2.) Enrollment'!I28</f>
        <v>0</v>
      </c>
      <c r="N169" s="675">
        <f>'2.) Enrollment'!J28</f>
        <v>0</v>
      </c>
      <c r="O169" s="606">
        <f t="shared" si="83"/>
        <v>0</v>
      </c>
      <c r="P169" s="604">
        <f>'2.) Enrollment'!K28</f>
        <v>0</v>
      </c>
      <c r="Q169" s="604">
        <f>'2.) Enrollment'!L28</f>
        <v>0</v>
      </c>
      <c r="R169" s="606">
        <f t="shared" si="84"/>
        <v>0</v>
      </c>
      <c r="S169" s="604">
        <f>'2.) Enrollment'!M28</f>
        <v>0</v>
      </c>
      <c r="T169" s="604">
        <f>'2.) Enrollment'!N28</f>
        <v>0</v>
      </c>
      <c r="U169" s="607">
        <f t="shared" si="85"/>
        <v>0</v>
      </c>
      <c r="V169" s="76"/>
      <c r="W169" s="76"/>
      <c r="X169" s="76"/>
      <c r="Y169" s="76"/>
      <c r="Z169" s="99"/>
      <c r="AA169" s="240"/>
    </row>
    <row r="170" spans="1:27" ht="15">
      <c r="A170" s="435">
        <f t="shared" si="69"/>
        <v>170</v>
      </c>
      <c r="B170" s="77"/>
      <c r="C170" s="41"/>
      <c r="D170" s="41"/>
      <c r="E170" s="1" t="str">
        <f t="shared" si="86"/>
        <v>-</v>
      </c>
      <c r="F170" s="1"/>
      <c r="G170" s="266">
        <f t="shared" si="87"/>
        <v>0</v>
      </c>
      <c r="H170" s="457"/>
      <c r="I170" s="673">
        <f>'2.) Enrollment'!E29</f>
        <v>0</v>
      </c>
      <c r="J170" s="674">
        <f>'2.) Enrollment'!G29</f>
        <v>0</v>
      </c>
      <c r="K170" s="674">
        <f>'2.) Enrollment'!H29</f>
        <v>0</v>
      </c>
      <c r="L170" s="606">
        <f t="shared" si="82"/>
        <v>0</v>
      </c>
      <c r="M170" s="675">
        <f>'2.) Enrollment'!I29</f>
        <v>0</v>
      </c>
      <c r="N170" s="675">
        <f>'2.) Enrollment'!J29</f>
        <v>0</v>
      </c>
      <c r="O170" s="606">
        <f t="shared" si="83"/>
        <v>0</v>
      </c>
      <c r="P170" s="604">
        <f>'2.) Enrollment'!K29</f>
        <v>0</v>
      </c>
      <c r="Q170" s="604">
        <f>'2.) Enrollment'!L29</f>
        <v>0</v>
      </c>
      <c r="R170" s="606">
        <f t="shared" si="84"/>
        <v>0</v>
      </c>
      <c r="S170" s="604">
        <f>'2.) Enrollment'!M29</f>
        <v>0</v>
      </c>
      <c r="T170" s="604">
        <f>'2.) Enrollment'!N29</f>
        <v>0</v>
      </c>
      <c r="U170" s="607">
        <f t="shared" si="85"/>
        <v>0</v>
      </c>
      <c r="V170" s="76"/>
      <c r="W170" s="76"/>
      <c r="X170" s="76"/>
      <c r="Y170" s="76"/>
      <c r="Z170" s="99"/>
      <c r="AA170" s="240"/>
    </row>
    <row r="171" spans="1:27" ht="15">
      <c r="A171" s="435">
        <f t="shared" si="69"/>
        <v>171</v>
      </c>
      <c r="B171" s="77"/>
      <c r="C171" s="41"/>
      <c r="D171" s="41"/>
      <c r="E171" s="1" t="str">
        <f t="shared" si="86"/>
        <v>-</v>
      </c>
      <c r="F171" s="1"/>
      <c r="G171" s="266">
        <f t="shared" si="87"/>
        <v>0</v>
      </c>
      <c r="H171" s="457"/>
      <c r="I171" s="673">
        <f>'2.) Enrollment'!E30</f>
        <v>0</v>
      </c>
      <c r="J171" s="674">
        <f>'2.) Enrollment'!G30</f>
        <v>0</v>
      </c>
      <c r="K171" s="674">
        <f>'2.) Enrollment'!H30</f>
        <v>0</v>
      </c>
      <c r="L171" s="606">
        <f t="shared" si="82"/>
        <v>0</v>
      </c>
      <c r="M171" s="675">
        <f>'2.) Enrollment'!I30</f>
        <v>0</v>
      </c>
      <c r="N171" s="675">
        <f>'2.) Enrollment'!J30</f>
        <v>0</v>
      </c>
      <c r="O171" s="606">
        <f t="shared" si="83"/>
        <v>0</v>
      </c>
      <c r="P171" s="604">
        <f>'2.) Enrollment'!K30</f>
        <v>0</v>
      </c>
      <c r="Q171" s="604">
        <f>'2.) Enrollment'!L30</f>
        <v>0</v>
      </c>
      <c r="R171" s="606">
        <f t="shared" si="84"/>
        <v>0</v>
      </c>
      <c r="S171" s="604">
        <f>'2.) Enrollment'!M30</f>
        <v>0</v>
      </c>
      <c r="T171" s="604">
        <f>'2.) Enrollment'!N30</f>
        <v>0</v>
      </c>
      <c r="U171" s="607">
        <f t="shared" si="85"/>
        <v>0</v>
      </c>
      <c r="V171" s="76"/>
      <c r="W171" s="76"/>
      <c r="X171" s="76"/>
      <c r="Y171" s="76"/>
      <c r="Z171" s="99"/>
      <c r="AA171" s="240"/>
    </row>
    <row r="172" spans="1:27" ht="15">
      <c r="A172" s="435">
        <f t="shared" si="69"/>
        <v>172</v>
      </c>
      <c r="B172" s="77"/>
      <c r="C172" s="41"/>
      <c r="D172" s="41"/>
      <c r="E172" s="1" t="str">
        <f t="shared" si="86"/>
        <v>-</v>
      </c>
      <c r="F172" s="1"/>
      <c r="G172" s="266">
        <f t="shared" si="87"/>
        <v>0</v>
      </c>
      <c r="H172" s="457"/>
      <c r="I172" s="673">
        <f>'2.) Enrollment'!E31</f>
        <v>0</v>
      </c>
      <c r="J172" s="674">
        <f>'2.) Enrollment'!G31</f>
        <v>0</v>
      </c>
      <c r="K172" s="674">
        <f>'2.) Enrollment'!H31</f>
        <v>0</v>
      </c>
      <c r="L172" s="606">
        <f t="shared" si="82"/>
        <v>0</v>
      </c>
      <c r="M172" s="675">
        <f>'2.) Enrollment'!I31</f>
        <v>0</v>
      </c>
      <c r="N172" s="675">
        <f>'2.) Enrollment'!J31</f>
        <v>0</v>
      </c>
      <c r="O172" s="606">
        <f t="shared" si="83"/>
        <v>0</v>
      </c>
      <c r="P172" s="604">
        <f>'2.) Enrollment'!K31</f>
        <v>0</v>
      </c>
      <c r="Q172" s="604">
        <f>'2.) Enrollment'!L31</f>
        <v>0</v>
      </c>
      <c r="R172" s="606">
        <f t="shared" si="84"/>
        <v>0</v>
      </c>
      <c r="S172" s="604">
        <f>'2.) Enrollment'!M31</f>
        <v>0</v>
      </c>
      <c r="T172" s="604">
        <f>'2.) Enrollment'!N31</f>
        <v>0</v>
      </c>
      <c r="U172" s="607">
        <f t="shared" si="85"/>
        <v>0</v>
      </c>
      <c r="V172" s="76"/>
      <c r="W172" s="76"/>
      <c r="X172" s="76"/>
      <c r="Y172" s="76"/>
      <c r="Z172" s="99"/>
      <c r="AA172" s="240"/>
    </row>
    <row r="173" spans="1:27" ht="15">
      <c r="A173" s="435">
        <f t="shared" si="69"/>
        <v>173</v>
      </c>
      <c r="B173" s="77"/>
      <c r="C173" s="41"/>
      <c r="D173" s="41"/>
      <c r="E173" s="1" t="str">
        <f t="shared" si="86"/>
        <v>-</v>
      </c>
      <c r="F173" s="1"/>
      <c r="G173" s="266">
        <f t="shared" si="87"/>
        <v>0</v>
      </c>
      <c r="H173" s="457"/>
      <c r="I173" s="673">
        <f>'2.) Enrollment'!E32</f>
        <v>0</v>
      </c>
      <c r="J173" s="674">
        <f>'2.) Enrollment'!G32</f>
        <v>0</v>
      </c>
      <c r="K173" s="674">
        <f>'2.) Enrollment'!H32</f>
        <v>0</v>
      </c>
      <c r="L173" s="606">
        <f t="shared" si="82"/>
        <v>0</v>
      </c>
      <c r="M173" s="675">
        <f>'2.) Enrollment'!I32</f>
        <v>0</v>
      </c>
      <c r="N173" s="675">
        <f>'2.) Enrollment'!J32</f>
        <v>0</v>
      </c>
      <c r="O173" s="606">
        <f t="shared" si="83"/>
        <v>0</v>
      </c>
      <c r="P173" s="604">
        <f>'2.) Enrollment'!K32</f>
        <v>0</v>
      </c>
      <c r="Q173" s="604">
        <f>'2.) Enrollment'!L32</f>
        <v>0</v>
      </c>
      <c r="R173" s="606">
        <f t="shared" si="84"/>
        <v>0</v>
      </c>
      <c r="S173" s="604">
        <f>'2.) Enrollment'!M32</f>
        <v>0</v>
      </c>
      <c r="T173" s="604">
        <f>'2.) Enrollment'!N32</f>
        <v>0</v>
      </c>
      <c r="U173" s="607">
        <f t="shared" si="85"/>
        <v>0</v>
      </c>
      <c r="V173" s="76"/>
      <c r="W173" s="76"/>
      <c r="X173" s="76"/>
      <c r="Y173" s="76"/>
      <c r="Z173" s="99"/>
      <c r="AA173" s="240"/>
    </row>
    <row r="174" spans="1:27" ht="15">
      <c r="A174" s="435">
        <f t="shared" si="69"/>
        <v>174</v>
      </c>
      <c r="B174" s="77"/>
      <c r="C174" s="41"/>
      <c r="D174" s="41"/>
      <c r="E174" s="1" t="str">
        <f t="shared" si="86"/>
        <v>-</v>
      </c>
      <c r="F174" s="1"/>
      <c r="G174" s="266">
        <f t="shared" si="87"/>
        <v>0</v>
      </c>
      <c r="H174" s="457"/>
      <c r="I174" s="673">
        <f>'2.) Enrollment'!E33</f>
        <v>0</v>
      </c>
      <c r="J174" s="674">
        <f>'2.) Enrollment'!G33</f>
        <v>0</v>
      </c>
      <c r="K174" s="674">
        <f>'2.) Enrollment'!H33</f>
        <v>0</v>
      </c>
      <c r="L174" s="606">
        <f t="shared" si="82"/>
        <v>0</v>
      </c>
      <c r="M174" s="675">
        <f>'2.) Enrollment'!I33</f>
        <v>0</v>
      </c>
      <c r="N174" s="675">
        <f>'2.) Enrollment'!J33</f>
        <v>0</v>
      </c>
      <c r="O174" s="606">
        <f t="shared" si="83"/>
        <v>0</v>
      </c>
      <c r="P174" s="604">
        <f>'2.) Enrollment'!K33</f>
        <v>0</v>
      </c>
      <c r="Q174" s="604">
        <f>'2.) Enrollment'!L33</f>
        <v>0</v>
      </c>
      <c r="R174" s="606">
        <f t="shared" si="84"/>
        <v>0</v>
      </c>
      <c r="S174" s="604">
        <f>'2.) Enrollment'!M33</f>
        <v>0</v>
      </c>
      <c r="T174" s="604">
        <f>'2.) Enrollment'!N33</f>
        <v>0</v>
      </c>
      <c r="U174" s="607">
        <f t="shared" si="85"/>
        <v>0</v>
      </c>
      <c r="V174" s="76"/>
      <c r="W174" s="76"/>
      <c r="X174" s="76"/>
      <c r="Y174" s="76"/>
      <c r="Z174" s="99"/>
      <c r="AA174" s="240"/>
    </row>
    <row r="175" spans="1:27" ht="15">
      <c r="A175" s="435">
        <f t="shared" si="69"/>
        <v>175</v>
      </c>
      <c r="B175" s="77"/>
      <c r="C175" s="41"/>
      <c r="D175" s="41"/>
      <c r="E175" s="1" t="str">
        <f t="shared" si="86"/>
        <v>-</v>
      </c>
      <c r="F175" s="1"/>
      <c r="G175" s="266">
        <f t="shared" si="87"/>
        <v>0</v>
      </c>
      <c r="H175" s="457"/>
      <c r="I175" s="673">
        <f>'2.) Enrollment'!E34</f>
        <v>0</v>
      </c>
      <c r="J175" s="674">
        <f>'2.) Enrollment'!G34</f>
        <v>0</v>
      </c>
      <c r="K175" s="674">
        <f>'2.) Enrollment'!H34</f>
        <v>0</v>
      </c>
      <c r="L175" s="606">
        <f t="shared" si="82"/>
        <v>0</v>
      </c>
      <c r="M175" s="675">
        <f>'2.) Enrollment'!I34</f>
        <v>0</v>
      </c>
      <c r="N175" s="675">
        <f>'2.) Enrollment'!J34</f>
        <v>0</v>
      </c>
      <c r="O175" s="606">
        <f t="shared" si="83"/>
        <v>0</v>
      </c>
      <c r="P175" s="604">
        <f>'2.) Enrollment'!K34</f>
        <v>0</v>
      </c>
      <c r="Q175" s="604">
        <f>'2.) Enrollment'!L34</f>
        <v>0</v>
      </c>
      <c r="R175" s="606">
        <f t="shared" si="84"/>
        <v>0</v>
      </c>
      <c r="S175" s="604">
        <f>'2.) Enrollment'!M34</f>
        <v>0</v>
      </c>
      <c r="T175" s="604">
        <f>'2.) Enrollment'!N34</f>
        <v>0</v>
      </c>
      <c r="U175" s="607">
        <f t="shared" si="85"/>
        <v>0</v>
      </c>
      <c r="V175" s="76"/>
      <c r="W175" s="76"/>
      <c r="X175" s="76"/>
      <c r="Y175" s="76"/>
      <c r="Z175" s="99"/>
      <c r="AA175" s="240"/>
    </row>
    <row r="176" spans="1:27" ht="15">
      <c r="A176" s="435">
        <f t="shared" si="69"/>
        <v>176</v>
      </c>
      <c r="B176" s="77"/>
      <c r="C176" s="41"/>
      <c r="D176" s="41"/>
      <c r="E176" s="1" t="str">
        <f t="shared" si="86"/>
        <v>-</v>
      </c>
      <c r="F176" s="1"/>
      <c r="G176" s="266">
        <f t="shared" si="87"/>
        <v>0</v>
      </c>
      <c r="H176" s="457"/>
      <c r="I176" s="673">
        <f>'2.) Enrollment'!E35</f>
        <v>0</v>
      </c>
      <c r="J176" s="674">
        <f>'2.) Enrollment'!G35</f>
        <v>0</v>
      </c>
      <c r="K176" s="674">
        <f>'2.) Enrollment'!H35</f>
        <v>0</v>
      </c>
      <c r="L176" s="606">
        <f t="shared" si="82"/>
        <v>0</v>
      </c>
      <c r="M176" s="675">
        <f>'2.) Enrollment'!I35</f>
        <v>0</v>
      </c>
      <c r="N176" s="675">
        <f>'2.) Enrollment'!J35</f>
        <v>0</v>
      </c>
      <c r="O176" s="606">
        <f t="shared" si="83"/>
        <v>0</v>
      </c>
      <c r="P176" s="604">
        <f>'2.) Enrollment'!K35</f>
        <v>0</v>
      </c>
      <c r="Q176" s="604">
        <f>'2.) Enrollment'!L35</f>
        <v>0</v>
      </c>
      <c r="R176" s="606">
        <f t="shared" si="84"/>
        <v>0</v>
      </c>
      <c r="S176" s="604">
        <f>'2.) Enrollment'!M35</f>
        <v>0</v>
      </c>
      <c r="T176" s="604">
        <f>'2.) Enrollment'!N35</f>
        <v>0</v>
      </c>
      <c r="U176" s="607">
        <f t="shared" si="85"/>
        <v>0</v>
      </c>
      <c r="V176" s="76"/>
      <c r="W176" s="76"/>
      <c r="X176" s="76"/>
      <c r="Y176" s="76"/>
      <c r="Z176" s="99"/>
      <c r="AA176" s="240"/>
    </row>
    <row r="177" spans="1:27" ht="15">
      <c r="A177" s="435">
        <f t="shared" si="69"/>
        <v>177</v>
      </c>
      <c r="B177" s="77"/>
      <c r="C177" s="41"/>
      <c r="D177" s="41"/>
      <c r="E177" s="1" t="str">
        <f t="shared" si="86"/>
        <v>-</v>
      </c>
      <c r="F177" s="1"/>
      <c r="G177" s="266">
        <f t="shared" si="87"/>
        <v>0</v>
      </c>
      <c r="H177" s="457"/>
      <c r="I177" s="673">
        <f>'2.) Enrollment'!E36</f>
        <v>0</v>
      </c>
      <c r="J177" s="674">
        <f>'2.) Enrollment'!G36</f>
        <v>0</v>
      </c>
      <c r="K177" s="674">
        <f>'2.) Enrollment'!H36</f>
        <v>0</v>
      </c>
      <c r="L177" s="606">
        <f t="shared" si="82"/>
        <v>0</v>
      </c>
      <c r="M177" s="675">
        <f>'2.) Enrollment'!I36</f>
        <v>0</v>
      </c>
      <c r="N177" s="675">
        <f>'2.) Enrollment'!J36</f>
        <v>0</v>
      </c>
      <c r="O177" s="606">
        <f t="shared" si="83"/>
        <v>0</v>
      </c>
      <c r="P177" s="604">
        <f>'2.) Enrollment'!K36</f>
        <v>0</v>
      </c>
      <c r="Q177" s="604">
        <f>'2.) Enrollment'!L36</f>
        <v>0</v>
      </c>
      <c r="R177" s="606">
        <f t="shared" si="84"/>
        <v>0</v>
      </c>
      <c r="S177" s="604">
        <f>'2.) Enrollment'!M36</f>
        <v>0</v>
      </c>
      <c r="T177" s="604">
        <f>'2.) Enrollment'!N36</f>
        <v>0</v>
      </c>
      <c r="U177" s="607">
        <f t="shared" si="85"/>
        <v>0</v>
      </c>
      <c r="V177" s="76"/>
      <c r="W177" s="76"/>
      <c r="X177" s="76"/>
      <c r="Y177" s="76"/>
      <c r="Z177" s="99"/>
      <c r="AA177" s="240"/>
    </row>
    <row r="178" spans="1:27" ht="17.25">
      <c r="A178" s="435">
        <f t="shared" si="69"/>
        <v>178</v>
      </c>
      <c r="B178" s="77"/>
      <c r="C178" s="41"/>
      <c r="D178" s="41"/>
      <c r="E178" s="1" t="str">
        <f t="shared" si="86"/>
        <v>ALL OTHER School Districts: ( Weighted Avg )</v>
      </c>
      <c r="F178" s="1"/>
      <c r="G178" s="266">
        <f t="shared" si="87"/>
        <v>0</v>
      </c>
      <c r="H178" s="464"/>
      <c r="I178" s="673">
        <f>SUM('2.) Enrollment'!E37:E71)</f>
        <v>0</v>
      </c>
      <c r="J178" s="674">
        <f>SUM('2.) Enrollment'!G37:G71)</f>
        <v>0</v>
      </c>
      <c r="K178" s="674">
        <f>SUM('2.) Enrollment'!H37:H71)</f>
        <v>0</v>
      </c>
      <c r="L178" s="606">
        <f t="shared" si="82"/>
        <v>0</v>
      </c>
      <c r="M178" s="675">
        <f>SUM('2.) Enrollment'!I37:I71)</f>
        <v>0</v>
      </c>
      <c r="N178" s="675">
        <f>SUM('2.) Enrollment'!J37:J71)</f>
        <v>0</v>
      </c>
      <c r="O178" s="606">
        <f t="shared" si="83"/>
        <v>0</v>
      </c>
      <c r="P178" s="675">
        <f>SUM('2.) Enrollment'!K37:K71)</f>
        <v>0</v>
      </c>
      <c r="Q178" s="675">
        <f>SUM('2.) Enrollment'!L37:L71)</f>
        <v>0</v>
      </c>
      <c r="R178" s="606">
        <f t="shared" si="84"/>
        <v>0</v>
      </c>
      <c r="S178" s="675">
        <f>SUM('2.) Enrollment'!M37:M71)</f>
        <v>0</v>
      </c>
      <c r="T178" s="675">
        <f>SUM('2.) Enrollment'!N37:N71)</f>
        <v>0</v>
      </c>
      <c r="U178" s="607">
        <f t="shared" si="85"/>
        <v>0</v>
      </c>
      <c r="V178" s="76"/>
      <c r="X178" s="76"/>
      <c r="Y178" s="76"/>
      <c r="Z178" s="99"/>
      <c r="AA178" s="240"/>
    </row>
    <row r="179" spans="1:27" ht="17.25">
      <c r="A179" s="435">
        <f t="shared" si="69"/>
        <v>179</v>
      </c>
      <c r="B179" s="51" t="s">
        <v>93</v>
      </c>
      <c r="C179" s="26"/>
      <c r="D179" s="26"/>
      <c r="E179" s="1"/>
      <c r="F179" s="1"/>
      <c r="G179" s="49"/>
      <c r="H179" s="465"/>
      <c r="I179" s="676">
        <f t="shared" ref="I179:U179" si="88">SUM(I163:I178)</f>
        <v>0</v>
      </c>
      <c r="J179" s="677">
        <f t="shared" si="88"/>
        <v>0</v>
      </c>
      <c r="K179" s="678">
        <f t="shared" si="88"/>
        <v>0</v>
      </c>
      <c r="L179" s="678">
        <f t="shared" si="88"/>
        <v>0</v>
      </c>
      <c r="M179" s="677">
        <f t="shared" si="88"/>
        <v>0</v>
      </c>
      <c r="N179" s="678">
        <f t="shared" si="88"/>
        <v>0</v>
      </c>
      <c r="O179" s="678">
        <f t="shared" si="88"/>
        <v>0</v>
      </c>
      <c r="P179" s="677">
        <f t="shared" si="88"/>
        <v>0</v>
      </c>
      <c r="Q179" s="678">
        <f t="shared" si="88"/>
        <v>0</v>
      </c>
      <c r="R179" s="678">
        <f t="shared" si="88"/>
        <v>0</v>
      </c>
      <c r="S179" s="677">
        <f t="shared" si="88"/>
        <v>0</v>
      </c>
      <c r="T179" s="678">
        <f t="shared" si="88"/>
        <v>0</v>
      </c>
      <c r="U179" s="679">
        <f t="shared" si="88"/>
        <v>0</v>
      </c>
      <c r="V179" s="122"/>
      <c r="W179" s="122"/>
      <c r="X179" s="122"/>
      <c r="Y179" s="115"/>
      <c r="Z179" s="134"/>
      <c r="AA179" s="240"/>
    </row>
    <row r="180" spans="1:27" ht="15">
      <c r="A180" s="435">
        <f t="shared" si="69"/>
        <v>180</v>
      </c>
      <c r="B180" s="65"/>
      <c r="C180" s="1"/>
      <c r="D180" s="1"/>
      <c r="E180" s="1"/>
      <c r="F180" s="1"/>
      <c r="G180" s="49"/>
      <c r="H180" s="457"/>
      <c r="I180" s="680"/>
      <c r="J180" s="680"/>
      <c r="K180" s="680"/>
      <c r="L180" s="680"/>
      <c r="M180" s="680"/>
      <c r="N180" s="680"/>
      <c r="O180" s="680"/>
      <c r="P180" s="680"/>
      <c r="Q180" s="680"/>
      <c r="R180" s="680"/>
      <c r="S180" s="680"/>
      <c r="T180" s="680"/>
      <c r="U180" s="681"/>
      <c r="V180" s="278"/>
      <c r="W180" s="278"/>
      <c r="X180" s="39"/>
      <c r="Y180" s="55"/>
      <c r="Z180" s="56"/>
      <c r="AA180" s="240"/>
    </row>
    <row r="181" spans="1:27" ht="17.25">
      <c r="A181" s="435">
        <f t="shared" si="69"/>
        <v>181</v>
      </c>
      <c r="B181" s="74" t="s">
        <v>94</v>
      </c>
      <c r="C181" s="75"/>
      <c r="D181" s="75"/>
      <c r="E181" s="1"/>
      <c r="F181" s="1"/>
      <c r="G181" s="49"/>
      <c r="H181" s="465"/>
      <c r="I181" s="682">
        <f>IF(I179&gt;0,I66/I179,0)</f>
        <v>0</v>
      </c>
      <c r="J181" s="683">
        <f>IF(J179&gt;0,J66/J179,0)</f>
        <v>0</v>
      </c>
      <c r="K181" s="684">
        <f>IF(K163&gt;0,K66/K179,0)</f>
        <v>0</v>
      </c>
      <c r="L181" s="685">
        <f>IF(K$18&lt;&gt;0,K181-J181,0)</f>
        <v>0</v>
      </c>
      <c r="M181" s="683">
        <f>IF(M179&gt;0,M66/M179,0)</f>
        <v>0</v>
      </c>
      <c r="N181" s="684">
        <f>IF(N163&gt;0,N66/N179,0)</f>
        <v>0</v>
      </c>
      <c r="O181" s="664">
        <f>IF(N$18&lt;&gt;0,N181-M181,0)</f>
        <v>0</v>
      </c>
      <c r="P181" s="683">
        <f>IF(P179&gt;0,P66/P179,0)</f>
        <v>0</v>
      </c>
      <c r="Q181" s="684">
        <f>IF(Q163&gt;0,Q66/Q179,0)</f>
        <v>0</v>
      </c>
      <c r="R181" s="685">
        <f>IF(Q$18&lt;&gt;0,Q181-P181,0)</f>
        <v>0</v>
      </c>
      <c r="S181" s="683">
        <f>IF(S179&gt;0,S66/S179,0)</f>
        <v>0</v>
      </c>
      <c r="T181" s="684">
        <f>IF(T163&gt;0,T66/T179,0)</f>
        <v>0</v>
      </c>
      <c r="U181" s="686">
        <f>IF(T$18&lt;&gt;0,T181-S181,0)</f>
        <v>0</v>
      </c>
      <c r="V181" s="121"/>
      <c r="W181" s="121"/>
      <c r="X181" s="121"/>
      <c r="Y181" s="115"/>
      <c r="Z181" s="504"/>
      <c r="AA181" s="240"/>
    </row>
    <row r="182" spans="1:27" ht="15">
      <c r="A182" s="435">
        <f t="shared" si="69"/>
        <v>182</v>
      </c>
      <c r="B182" s="65"/>
      <c r="C182" s="1"/>
      <c r="D182" s="1"/>
      <c r="E182" s="1"/>
      <c r="F182" s="1"/>
      <c r="G182" s="49"/>
      <c r="H182" s="457"/>
      <c r="I182" s="680"/>
      <c r="J182" s="680"/>
      <c r="K182" s="680"/>
      <c r="L182" s="680"/>
      <c r="M182" s="680"/>
      <c r="N182" s="680"/>
      <c r="O182" s="680"/>
      <c r="P182" s="680"/>
      <c r="Q182" s="680"/>
      <c r="R182" s="680"/>
      <c r="S182" s="680"/>
      <c r="T182" s="680"/>
      <c r="U182" s="681"/>
      <c r="V182" s="39"/>
      <c r="W182" s="39"/>
      <c r="X182" s="39"/>
      <c r="Y182" s="39"/>
      <c r="Z182" s="66"/>
      <c r="AA182" s="240"/>
    </row>
    <row r="183" spans="1:27" ht="18" thickBot="1">
      <c r="A183" s="435">
        <f t="shared" si="69"/>
        <v>183</v>
      </c>
      <c r="B183" s="105" t="s">
        <v>95</v>
      </c>
      <c r="C183" s="106"/>
      <c r="D183" s="106"/>
      <c r="E183" s="272"/>
      <c r="F183" s="272"/>
      <c r="G183" s="273"/>
      <c r="H183" s="466"/>
      <c r="I183" s="687">
        <f>IF(I179&gt;0,I157/I179,0)</f>
        <v>0</v>
      </c>
      <c r="J183" s="688">
        <f>IF(J179&gt;0,J157/J179,0)</f>
        <v>0</v>
      </c>
      <c r="K183" s="689">
        <f>IF(K163&gt;0,K157/K179,0)</f>
        <v>0</v>
      </c>
      <c r="L183" s="690">
        <f>IF(K$18&lt;&gt;0,J183-K183,0)</f>
        <v>0</v>
      </c>
      <c r="M183" s="688">
        <f>IF(M179&gt;0,M157/M179,0)</f>
        <v>0</v>
      </c>
      <c r="N183" s="689">
        <f>IF(N163&gt;0,N157/N179,0)</f>
        <v>0</v>
      </c>
      <c r="O183" s="690">
        <f>IF(N$18&lt;&gt;0,M183-N183,0)</f>
        <v>0</v>
      </c>
      <c r="P183" s="688">
        <f>IF(P179&gt;0,P157/P179,0)</f>
        <v>0</v>
      </c>
      <c r="Q183" s="689">
        <f>IF(Q163&gt;0,Q157/Q179,0)</f>
        <v>0</v>
      </c>
      <c r="R183" s="690">
        <f>IF(Q$18&lt;&gt;0,P183-Q183,0)</f>
        <v>0</v>
      </c>
      <c r="S183" s="688">
        <f>IF(S179&gt;0,S157/S179,0)</f>
        <v>0</v>
      </c>
      <c r="T183" s="689">
        <f>IF(T163&gt;0,T157/T179,0)</f>
        <v>0</v>
      </c>
      <c r="U183" s="691">
        <f>IF(T$18&lt;&gt;0,S183-T183,0)</f>
        <v>0</v>
      </c>
      <c r="V183" s="277"/>
      <c r="W183" s="277"/>
      <c r="X183" s="277"/>
      <c r="Y183" s="277"/>
      <c r="Z183" s="505"/>
      <c r="AA183" s="692"/>
    </row>
    <row r="184" spans="1:27" ht="16.5" thickTop="1" thickBot="1">
      <c r="A184" s="435">
        <f t="shared" si="69"/>
        <v>184</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thickTop="1">
      <c r="A185" s="435">
        <f t="shared" si="69"/>
        <v>185</v>
      </c>
      <c r="B185" s="804" t="s">
        <v>556</v>
      </c>
      <c r="C185" s="803"/>
      <c r="D185" s="803"/>
      <c r="E185" s="895"/>
      <c r="F185" s="898"/>
      <c r="G185" s="898"/>
      <c r="H185" s="899"/>
      <c r="I185" s="899"/>
      <c r="J185" s="802"/>
      <c r="K185" s="802"/>
      <c r="L185" s="802"/>
      <c r="M185" s="802"/>
      <c r="N185" s="802"/>
      <c r="O185" s="802"/>
      <c r="P185" s="802"/>
      <c r="Q185" s="802"/>
      <c r="R185" s="802"/>
      <c r="S185" s="802"/>
      <c r="T185" s="802"/>
      <c r="U185" s="801"/>
      <c r="V185" s="589"/>
      <c r="W185" s="802"/>
      <c r="X185" s="802"/>
      <c r="Y185" s="802"/>
      <c r="Z185" s="802"/>
      <c r="AA185" s="797"/>
    </row>
    <row r="186" spans="1:27" ht="15">
      <c r="A186" s="435">
        <f t="shared" si="69"/>
        <v>186</v>
      </c>
      <c r="B186" s="889"/>
      <c r="C186" s="892" t="s">
        <v>566</v>
      </c>
      <c r="D186" s="890"/>
      <c r="E186" s="885"/>
      <c r="F186" s="886"/>
      <c r="G186" s="886"/>
      <c r="H186" s="887"/>
      <c r="I186" s="887"/>
      <c r="J186" s="887"/>
      <c r="K186" s="887"/>
      <c r="M186" s="887"/>
      <c r="N186" s="887"/>
      <c r="P186" s="887"/>
      <c r="Q186" s="887"/>
      <c r="S186" s="887"/>
      <c r="U186" s="693"/>
      <c r="V186" s="796"/>
      <c r="W186" s="887"/>
      <c r="Y186" s="887"/>
      <c r="Z186" s="887"/>
      <c r="AA186" s="693"/>
    </row>
    <row r="187" spans="1:27" ht="15">
      <c r="A187" s="435">
        <f t="shared" si="69"/>
        <v>187</v>
      </c>
      <c r="B187" s="889"/>
      <c r="C187" s="890"/>
      <c r="D187" s="1010" t="s">
        <v>557</v>
      </c>
      <c r="E187" s="1010"/>
      <c r="F187" s="1010"/>
      <c r="G187" s="1010"/>
      <c r="H187" s="887"/>
      <c r="I187" s="876">
        <v>0</v>
      </c>
      <c r="J187" s="879">
        <v>0</v>
      </c>
      <c r="K187" s="910">
        <v>0</v>
      </c>
      <c r="L187" s="606">
        <f>IF(K$18&lt;&gt;0,J187-K187,0)</f>
        <v>0</v>
      </c>
      <c r="M187" s="910">
        <v>0</v>
      </c>
      <c r="N187" s="910">
        <v>0</v>
      </c>
      <c r="O187" s="606">
        <f>IF(N$18&lt;&gt;0,M187-N187,0)</f>
        <v>0</v>
      </c>
      <c r="P187" s="910">
        <v>0</v>
      </c>
      <c r="Q187" s="910">
        <v>0</v>
      </c>
      <c r="R187" s="606">
        <f>IF(Q$18&lt;&gt;0,P187-Q187,0)</f>
        <v>0</v>
      </c>
      <c r="S187" s="910">
        <v>0</v>
      </c>
      <c r="T187" s="910">
        <v>0</v>
      </c>
      <c r="U187" s="607">
        <f>IF(T$18&lt;&gt;0,S187-T187,0)</f>
        <v>0</v>
      </c>
      <c r="V187" s="608">
        <f>J187+M187+P187+S187</f>
        <v>0</v>
      </c>
      <c r="W187" s="609">
        <f>SUM(IF(K$6&lt;&gt;0,K187,J187)+IF(N$6&lt;&gt;0,N187,M187)+IF(Q$6&lt;&gt;0,Q187,P187)+IF(T$6&lt;&gt;0,T187,S187))</f>
        <v>0</v>
      </c>
      <c r="X187" s="605">
        <f>IF(W$18&lt;&gt;0,V187-W187,0)</f>
        <v>0</v>
      </c>
      <c r="Y187" s="605">
        <f>V187-I187</f>
        <v>0</v>
      </c>
      <c r="Z187" s="652">
        <f>W187-I187</f>
        <v>0</v>
      </c>
      <c r="AA187" s="795"/>
    </row>
    <row r="188" spans="1:27" ht="15">
      <c r="A188" s="435">
        <f t="shared" si="69"/>
        <v>188</v>
      </c>
      <c r="B188" s="889"/>
      <c r="C188" s="890"/>
      <c r="D188" s="1010" t="s">
        <v>29</v>
      </c>
      <c r="E188" s="1010"/>
      <c r="F188" s="1010"/>
      <c r="G188" s="1010"/>
      <c r="H188" s="887"/>
      <c r="I188" s="875">
        <v>0</v>
      </c>
      <c r="J188" s="878">
        <v>0</v>
      </c>
      <c r="K188" s="911">
        <v>0</v>
      </c>
      <c r="L188" s="606">
        <f>IF(K$18&lt;&gt;0,J188-K188,0)</f>
        <v>0</v>
      </c>
      <c r="M188" s="911">
        <v>0</v>
      </c>
      <c r="N188" s="911">
        <v>0</v>
      </c>
      <c r="O188" s="606">
        <f>IF(N$18&lt;&gt;0,M188-N188,0)</f>
        <v>0</v>
      </c>
      <c r="P188" s="911">
        <v>0</v>
      </c>
      <c r="Q188" s="911">
        <v>0</v>
      </c>
      <c r="R188" s="606">
        <f>IF(Q$18&lt;&gt;0,P188-Q188,0)</f>
        <v>0</v>
      </c>
      <c r="S188" s="911">
        <v>0</v>
      </c>
      <c r="T188" s="911">
        <v>0</v>
      </c>
      <c r="U188" s="607">
        <f>IF(T$18&lt;&gt;0,S188-T188,0)</f>
        <v>0</v>
      </c>
      <c r="V188" s="608">
        <f>J188+M188+P188+S188</f>
        <v>0</v>
      </c>
      <c r="W188" s="609">
        <f>SUM(IF(K$6&lt;&gt;0,K188,J188)+IF(N$6&lt;&gt;0,N188,M188)+IF(Q$6&lt;&gt;0,Q188,P188)+IF(T$6&lt;&gt;0,T188,S188))</f>
        <v>0</v>
      </c>
      <c r="X188" s="605">
        <f>IF(W$18&lt;&gt;0,V188-W188,0)</f>
        <v>0</v>
      </c>
      <c r="Y188" s="605">
        <f>V188-I188</f>
        <v>0</v>
      </c>
      <c r="Z188" s="652">
        <f>W188-I188</f>
        <v>0</v>
      </c>
      <c r="AA188" s="795"/>
    </row>
    <row r="189" spans="1:27" ht="15">
      <c r="A189" s="435">
        <f t="shared" si="69"/>
        <v>189</v>
      </c>
      <c r="B189" s="889"/>
      <c r="C189" s="890" t="s">
        <v>558</v>
      </c>
      <c r="D189" s="900"/>
      <c r="E189" s="901"/>
      <c r="F189" s="886"/>
      <c r="G189" s="886"/>
      <c r="H189" s="887"/>
      <c r="I189" s="874">
        <f>SUM(I187:I188)</f>
        <v>0</v>
      </c>
      <c r="J189" s="877">
        <f t="shared" ref="J189:X189" si="89">SUM(J187:J188)</f>
        <v>0</v>
      </c>
      <c r="K189" s="902">
        <f t="shared" si="89"/>
        <v>0</v>
      </c>
      <c r="L189" s="902">
        <f t="shared" si="89"/>
        <v>0</v>
      </c>
      <c r="M189" s="902">
        <f t="shared" si="89"/>
        <v>0</v>
      </c>
      <c r="N189" s="902">
        <f t="shared" si="89"/>
        <v>0</v>
      </c>
      <c r="O189" s="902">
        <f t="shared" si="89"/>
        <v>0</v>
      </c>
      <c r="P189" s="902">
        <f t="shared" si="89"/>
        <v>0</v>
      </c>
      <c r="Q189" s="902">
        <f t="shared" si="89"/>
        <v>0</v>
      </c>
      <c r="R189" s="902">
        <f t="shared" si="89"/>
        <v>0</v>
      </c>
      <c r="S189" s="902">
        <f t="shared" si="89"/>
        <v>0</v>
      </c>
      <c r="T189" s="902">
        <f t="shared" si="89"/>
        <v>0</v>
      </c>
      <c r="U189" s="800">
        <f t="shared" si="89"/>
        <v>0</v>
      </c>
      <c r="V189" s="794">
        <f t="shared" si="89"/>
        <v>0</v>
      </c>
      <c r="W189" s="902">
        <f t="shared" si="89"/>
        <v>0</v>
      </c>
      <c r="X189" s="787">
        <f t="shared" si="89"/>
        <v>0</v>
      </c>
      <c r="Y189" s="787">
        <f>SUM(Y187:Y188)</f>
        <v>0</v>
      </c>
      <c r="Z189" s="867">
        <f>SUM(Z187:Z188)</f>
        <v>0</v>
      </c>
      <c r="AA189" s="795"/>
    </row>
    <row r="190" spans="1:27" ht="15">
      <c r="A190" s="435">
        <f t="shared" si="69"/>
        <v>190</v>
      </c>
      <c r="B190" s="889"/>
      <c r="C190" s="890" t="s">
        <v>570</v>
      </c>
      <c r="D190" s="900"/>
      <c r="E190" s="901"/>
      <c r="F190" s="886"/>
      <c r="G190" s="886"/>
      <c r="H190" s="887"/>
      <c r="I190" s="903"/>
      <c r="J190" s="903"/>
      <c r="K190" s="903"/>
      <c r="M190" s="903"/>
      <c r="N190" s="903"/>
      <c r="P190" s="903"/>
      <c r="Q190" s="903"/>
      <c r="S190" s="903"/>
      <c r="T190" s="903"/>
      <c r="U190" s="693"/>
      <c r="V190" s="793"/>
      <c r="W190" s="903"/>
      <c r="Y190" s="903"/>
      <c r="Z190" s="903"/>
      <c r="AA190" s="795"/>
    </row>
    <row r="191" spans="1:27" ht="15">
      <c r="A191" s="435">
        <f t="shared" si="69"/>
        <v>191</v>
      </c>
      <c r="B191" s="889"/>
      <c r="C191" s="890"/>
      <c r="D191" s="1010" t="s">
        <v>559</v>
      </c>
      <c r="E191" s="1010"/>
      <c r="F191" s="1010"/>
      <c r="G191" s="1010"/>
      <c r="H191" s="887"/>
      <c r="I191" s="872">
        <v>0</v>
      </c>
      <c r="J191" s="873">
        <v>0</v>
      </c>
      <c r="K191" s="891">
        <v>0</v>
      </c>
      <c r="L191" s="606">
        <f>IF(K$18&lt;&gt;0,J191-K191,0)</f>
        <v>0</v>
      </c>
      <c r="M191" s="891">
        <v>0</v>
      </c>
      <c r="N191" s="891">
        <v>0</v>
      </c>
      <c r="O191" s="606">
        <f>IF(N$18&lt;&gt;0,M191-N191,0)</f>
        <v>0</v>
      </c>
      <c r="P191" s="891">
        <v>0</v>
      </c>
      <c r="Q191" s="891">
        <v>0</v>
      </c>
      <c r="R191" s="606">
        <f>IF(Q$18&lt;&gt;0,P191-Q191,0)</f>
        <v>0</v>
      </c>
      <c r="S191" s="891">
        <v>0</v>
      </c>
      <c r="T191" s="891">
        <v>0</v>
      </c>
      <c r="U191" s="607">
        <f>IF(T$18&lt;&gt;0,S191-T191,0)</f>
        <v>0</v>
      </c>
      <c r="V191" s="608">
        <f>J191+M191+P191+S191</f>
        <v>0</v>
      </c>
      <c r="W191" s="609">
        <f>SUM(IF(K$6&lt;&gt;0,K191,J191)+IF(N$6&lt;&gt;0,N191,M191)+IF(Q$6&lt;&gt;0,Q191,P191)+IF(T$6&lt;&gt;0,T191,S191))</f>
        <v>0</v>
      </c>
      <c r="X191" s="605">
        <f>IF(W$18&lt;&gt;0,V191-W191,0)</f>
        <v>0</v>
      </c>
      <c r="Y191" s="605">
        <f>V191-I191</f>
        <v>0</v>
      </c>
      <c r="Z191" s="652">
        <f>W191-I191</f>
        <v>0</v>
      </c>
      <c r="AA191" s="795"/>
    </row>
    <row r="192" spans="1:27" ht="15">
      <c r="A192" s="435">
        <f t="shared" si="69"/>
        <v>192</v>
      </c>
      <c r="B192" s="889"/>
      <c r="C192" s="890"/>
      <c r="D192" s="1010" t="s">
        <v>29</v>
      </c>
      <c r="E192" s="1010"/>
      <c r="F192" s="1010"/>
      <c r="G192" s="1010"/>
      <c r="H192" s="887"/>
      <c r="I192" s="876">
        <v>0</v>
      </c>
      <c r="J192" s="879">
        <v>0</v>
      </c>
      <c r="K192" s="910">
        <v>0</v>
      </c>
      <c r="L192" s="606">
        <f>IF(K$18&lt;&gt;0,J192-K192,0)</f>
        <v>0</v>
      </c>
      <c r="M192" s="910">
        <v>0</v>
      </c>
      <c r="N192" s="910">
        <v>0</v>
      </c>
      <c r="O192" s="606">
        <f>IF(N$18&lt;&gt;0,M192-N192,0)</f>
        <v>0</v>
      </c>
      <c r="P192" s="910">
        <v>0</v>
      </c>
      <c r="Q192" s="910">
        <v>0</v>
      </c>
      <c r="R192" s="606">
        <f>IF(Q$18&lt;&gt;0,P192-Q192,0)</f>
        <v>0</v>
      </c>
      <c r="S192" s="910">
        <v>0</v>
      </c>
      <c r="T192" s="910">
        <v>0</v>
      </c>
      <c r="U192" s="607">
        <f>IF(T$18&lt;&gt;0,S192-T192,0)</f>
        <v>0</v>
      </c>
      <c r="V192" s="608">
        <f>J192+M192+P192+S192</f>
        <v>0</v>
      </c>
      <c r="W192" s="609">
        <f>SUM(IF(K$6&lt;&gt;0,K192,J192)+IF(N$6&lt;&gt;0,N192,M192)+IF(Q$6&lt;&gt;0,Q192,P192)+IF(T$6&lt;&gt;0,T192,S192))</f>
        <v>0</v>
      </c>
      <c r="X192" s="605">
        <f>IF(W$18&lt;&gt;0,V192-W192,0)</f>
        <v>0</v>
      </c>
      <c r="Y192" s="605">
        <f>V192-I192</f>
        <v>0</v>
      </c>
      <c r="Z192" s="652">
        <f>W192-I192</f>
        <v>0</v>
      </c>
      <c r="AA192" s="795"/>
    </row>
    <row r="193" spans="1:27" ht="15">
      <c r="A193" s="435">
        <f t="shared" si="69"/>
        <v>193</v>
      </c>
      <c r="B193" s="889"/>
      <c r="C193" s="890" t="s">
        <v>560</v>
      </c>
      <c r="D193" s="900"/>
      <c r="E193" s="901"/>
      <c r="F193" s="886"/>
      <c r="G193" s="886"/>
      <c r="H193" s="887"/>
      <c r="I193" s="874">
        <f t="shared" ref="I193:Z193" si="90">SUM(I191:I192)</f>
        <v>0</v>
      </c>
      <c r="J193" s="877">
        <f t="shared" si="90"/>
        <v>0</v>
      </c>
      <c r="K193" s="902">
        <f t="shared" si="90"/>
        <v>0</v>
      </c>
      <c r="L193" s="902">
        <f t="shared" si="90"/>
        <v>0</v>
      </c>
      <c r="M193" s="902">
        <f t="shared" si="90"/>
        <v>0</v>
      </c>
      <c r="N193" s="902">
        <f t="shared" si="90"/>
        <v>0</v>
      </c>
      <c r="O193" s="902">
        <f t="shared" si="90"/>
        <v>0</v>
      </c>
      <c r="P193" s="902">
        <f t="shared" si="90"/>
        <v>0</v>
      </c>
      <c r="Q193" s="902">
        <f t="shared" si="90"/>
        <v>0</v>
      </c>
      <c r="R193" s="902">
        <f t="shared" si="90"/>
        <v>0</v>
      </c>
      <c r="S193" s="902">
        <f t="shared" si="90"/>
        <v>0</v>
      </c>
      <c r="T193" s="902">
        <f t="shared" si="90"/>
        <v>0</v>
      </c>
      <c r="U193" s="800">
        <f t="shared" si="90"/>
        <v>0</v>
      </c>
      <c r="V193" s="794">
        <f t="shared" si="90"/>
        <v>0</v>
      </c>
      <c r="W193" s="902">
        <f t="shared" si="90"/>
        <v>0</v>
      </c>
      <c r="X193" s="787">
        <f t="shared" si="90"/>
        <v>0</v>
      </c>
      <c r="Y193" s="787">
        <f t="shared" si="90"/>
        <v>0</v>
      </c>
      <c r="Z193" s="867">
        <f t="shared" si="90"/>
        <v>0</v>
      </c>
      <c r="AA193" s="795"/>
    </row>
    <row r="194" spans="1:27" ht="15">
      <c r="A194" s="435">
        <f t="shared" si="69"/>
        <v>194</v>
      </c>
      <c r="B194" s="889"/>
      <c r="C194" s="890" t="s">
        <v>571</v>
      </c>
      <c r="D194" s="900"/>
      <c r="E194" s="901"/>
      <c r="F194" s="886"/>
      <c r="G194" s="888"/>
      <c r="H194" s="887"/>
      <c r="I194" s="903"/>
      <c r="J194" s="903"/>
      <c r="K194" s="903"/>
      <c r="M194" s="903"/>
      <c r="N194" s="903"/>
      <c r="P194" s="903"/>
      <c r="Q194" s="903"/>
      <c r="S194" s="903"/>
      <c r="T194" s="903"/>
      <c r="U194" s="693"/>
      <c r="V194" s="793"/>
      <c r="W194" s="903"/>
      <c r="Y194" s="903"/>
      <c r="Z194" s="903"/>
      <c r="AA194" s="795"/>
    </row>
    <row r="195" spans="1:27" ht="15">
      <c r="A195" s="435">
        <f t="shared" si="69"/>
        <v>195</v>
      </c>
      <c r="B195" s="889"/>
      <c r="C195" s="890"/>
      <c r="D195" s="1010" t="s">
        <v>561</v>
      </c>
      <c r="E195" s="1010"/>
      <c r="F195" s="1010"/>
      <c r="G195" s="1010"/>
      <c r="H195" s="887"/>
      <c r="I195" s="876">
        <v>0</v>
      </c>
      <c r="J195" s="879">
        <v>0</v>
      </c>
      <c r="K195" s="910">
        <v>0</v>
      </c>
      <c r="L195" s="606">
        <f>IF(K$18&lt;&gt;0,J195-K195,0)</f>
        <v>0</v>
      </c>
      <c r="M195" s="910">
        <v>0</v>
      </c>
      <c r="N195" s="910">
        <v>0</v>
      </c>
      <c r="O195" s="606">
        <f>IF(N$18&lt;&gt;0,M195-N195,0)</f>
        <v>0</v>
      </c>
      <c r="P195" s="910">
        <v>0</v>
      </c>
      <c r="Q195" s="910">
        <v>0</v>
      </c>
      <c r="R195" s="606">
        <f>IF(Q$18&lt;&gt;0,P195-Q195,0)</f>
        <v>0</v>
      </c>
      <c r="S195" s="910">
        <v>0</v>
      </c>
      <c r="T195" s="910">
        <v>0</v>
      </c>
      <c r="U195" s="607">
        <f>IF(T$18&lt;&gt;0,S195-T195,0)</f>
        <v>0</v>
      </c>
      <c r="V195" s="608">
        <f>J195+M195+P195+S195</f>
        <v>0</v>
      </c>
      <c r="W195" s="609">
        <f>SUM(IF(K$6&lt;&gt;0,K195,J195)+IF(N$6&lt;&gt;0,N195,M195)+IF(Q$6&lt;&gt;0,Q195,P195)+IF(T$6&lt;&gt;0,T195,S195))</f>
        <v>0</v>
      </c>
      <c r="X195" s="605">
        <f>IF(W$18&lt;&gt;0,V195-W195,0)</f>
        <v>0</v>
      </c>
      <c r="Y195" s="605">
        <f>V195-I195</f>
        <v>0</v>
      </c>
      <c r="Z195" s="652">
        <f>W195-I195</f>
        <v>0</v>
      </c>
      <c r="AA195" s="795"/>
    </row>
    <row r="196" spans="1:27" ht="15">
      <c r="A196" s="435">
        <f t="shared" ref="A196:A205" si="91">A195+1</f>
        <v>196</v>
      </c>
      <c r="B196" s="889"/>
      <c r="C196" s="890"/>
      <c r="D196" s="1010" t="s">
        <v>29</v>
      </c>
      <c r="E196" s="1010"/>
      <c r="F196" s="1010"/>
      <c r="G196" s="1010"/>
      <c r="H196" s="887"/>
      <c r="I196" s="876">
        <v>0</v>
      </c>
      <c r="J196" s="879">
        <v>0</v>
      </c>
      <c r="K196" s="910">
        <v>0</v>
      </c>
      <c r="L196" s="606">
        <f>IF(K$18&lt;&gt;0,J196-K196,0)</f>
        <v>0</v>
      </c>
      <c r="M196" s="910">
        <v>0</v>
      </c>
      <c r="N196" s="910">
        <v>0</v>
      </c>
      <c r="O196" s="606">
        <f>IF(N$18&lt;&gt;0,M196-N196,0)</f>
        <v>0</v>
      </c>
      <c r="P196" s="910">
        <v>0</v>
      </c>
      <c r="Q196" s="910">
        <v>0</v>
      </c>
      <c r="R196" s="606">
        <f>IF(Q$18&lt;&gt;0,P196-Q196,0)</f>
        <v>0</v>
      </c>
      <c r="S196" s="910">
        <v>0</v>
      </c>
      <c r="T196" s="910">
        <v>0</v>
      </c>
      <c r="U196" s="607">
        <f>IF(T$18&lt;&gt;0,S196-T196,0)</f>
        <v>0</v>
      </c>
      <c r="V196" s="608">
        <f>J196+M196+P196+S196</f>
        <v>0</v>
      </c>
      <c r="W196" s="609">
        <f>SUM(IF(K$6&lt;&gt;0,K196,J196)+IF(N$6&lt;&gt;0,N196,M196)+IF(Q$6&lt;&gt;0,Q196,P196)+IF(T$6&lt;&gt;0,T196,S196))</f>
        <v>0</v>
      </c>
      <c r="X196" s="605">
        <f>IF(W$18&lt;&gt;0,V196-W196,0)</f>
        <v>0</v>
      </c>
      <c r="Y196" s="605">
        <f>V196-I196</f>
        <v>0</v>
      </c>
      <c r="Z196" s="652">
        <f>W196-I196</f>
        <v>0</v>
      </c>
      <c r="AA196" s="795"/>
    </row>
    <row r="197" spans="1:27" ht="15">
      <c r="A197" s="435">
        <f t="shared" si="91"/>
        <v>197</v>
      </c>
      <c r="B197" s="889"/>
      <c r="C197" s="890" t="s">
        <v>562</v>
      </c>
      <c r="D197" s="890"/>
      <c r="E197" s="885"/>
      <c r="F197" s="886"/>
      <c r="G197" s="886"/>
      <c r="H197" s="887"/>
      <c r="I197" s="874">
        <f t="shared" ref="I197:Z197" si="92">SUM(I195:I196)</f>
        <v>0</v>
      </c>
      <c r="J197" s="877">
        <f t="shared" si="92"/>
        <v>0</v>
      </c>
      <c r="K197" s="902">
        <f t="shared" si="92"/>
        <v>0</v>
      </c>
      <c r="L197" s="902">
        <f t="shared" si="92"/>
        <v>0</v>
      </c>
      <c r="M197" s="902">
        <f t="shared" si="92"/>
        <v>0</v>
      </c>
      <c r="N197" s="902">
        <f t="shared" si="92"/>
        <v>0</v>
      </c>
      <c r="O197" s="902">
        <f t="shared" si="92"/>
        <v>0</v>
      </c>
      <c r="P197" s="902">
        <f t="shared" si="92"/>
        <v>0</v>
      </c>
      <c r="Q197" s="902">
        <f t="shared" si="92"/>
        <v>0</v>
      </c>
      <c r="R197" s="902">
        <f t="shared" si="92"/>
        <v>0</v>
      </c>
      <c r="S197" s="902">
        <f t="shared" si="92"/>
        <v>0</v>
      </c>
      <c r="T197" s="902">
        <f t="shared" si="92"/>
        <v>0</v>
      </c>
      <c r="U197" s="800">
        <f t="shared" si="92"/>
        <v>0</v>
      </c>
      <c r="V197" s="794">
        <f t="shared" si="92"/>
        <v>0</v>
      </c>
      <c r="W197" s="902">
        <f t="shared" si="92"/>
        <v>0</v>
      </c>
      <c r="X197" s="787">
        <f t="shared" si="92"/>
        <v>0</v>
      </c>
      <c r="Y197" s="866">
        <f t="shared" si="92"/>
        <v>0</v>
      </c>
      <c r="Z197" s="865">
        <f t="shared" si="92"/>
        <v>0</v>
      </c>
      <c r="AA197" s="795"/>
    </row>
    <row r="198" spans="1:27" ht="15">
      <c r="A198" s="435">
        <f t="shared" si="91"/>
        <v>198</v>
      </c>
      <c r="B198" s="889"/>
      <c r="C198" s="890"/>
      <c r="D198" s="890"/>
      <c r="E198" s="885"/>
      <c r="F198" s="886"/>
      <c r="G198" s="886"/>
      <c r="H198" s="887"/>
      <c r="I198" s="903"/>
      <c r="J198" s="903"/>
      <c r="K198" s="903"/>
      <c r="M198" s="903"/>
      <c r="N198" s="903"/>
      <c r="P198" s="903"/>
      <c r="Q198" s="903"/>
      <c r="S198" s="903"/>
      <c r="T198" s="903"/>
      <c r="U198" s="693"/>
      <c r="V198" s="793"/>
      <c r="W198" s="903"/>
      <c r="Y198" s="903"/>
      <c r="Z198" s="903"/>
      <c r="AA198" s="795"/>
    </row>
    <row r="199" spans="1:27" ht="15">
      <c r="A199" s="435">
        <f t="shared" si="91"/>
        <v>199</v>
      </c>
      <c r="B199" s="883" t="s">
        <v>563</v>
      </c>
      <c r="C199" s="904"/>
      <c r="D199" s="904"/>
      <c r="E199" s="884"/>
      <c r="F199" s="905"/>
      <c r="G199" s="886"/>
      <c r="H199" s="887"/>
      <c r="I199" s="870">
        <f>I189+I193+I197</f>
        <v>0</v>
      </c>
      <c r="J199" s="871">
        <f t="shared" ref="J199:Z199" si="93">J189+J193+J197</f>
        <v>0</v>
      </c>
      <c r="K199" s="906">
        <f t="shared" si="93"/>
        <v>0</v>
      </c>
      <c r="L199" s="906">
        <f t="shared" si="93"/>
        <v>0</v>
      </c>
      <c r="M199" s="906">
        <f t="shared" si="93"/>
        <v>0</v>
      </c>
      <c r="N199" s="906">
        <f t="shared" si="93"/>
        <v>0</v>
      </c>
      <c r="O199" s="906">
        <f t="shared" si="93"/>
        <v>0</v>
      </c>
      <c r="P199" s="906">
        <f t="shared" si="93"/>
        <v>0</v>
      </c>
      <c r="Q199" s="906">
        <f t="shared" si="93"/>
        <v>0</v>
      </c>
      <c r="R199" s="906">
        <f t="shared" si="93"/>
        <v>0</v>
      </c>
      <c r="S199" s="906">
        <f t="shared" si="93"/>
        <v>0</v>
      </c>
      <c r="T199" s="906">
        <f t="shared" si="93"/>
        <v>0</v>
      </c>
      <c r="U199" s="799">
        <f t="shared" si="93"/>
        <v>0</v>
      </c>
      <c r="V199" s="792">
        <f t="shared" si="93"/>
        <v>0</v>
      </c>
      <c r="W199" s="906">
        <f t="shared" si="93"/>
        <v>0</v>
      </c>
      <c r="X199" s="864">
        <f t="shared" si="93"/>
        <v>0</v>
      </c>
      <c r="Y199" s="863">
        <f t="shared" si="93"/>
        <v>0</v>
      </c>
      <c r="Z199" s="862">
        <f t="shared" si="93"/>
        <v>0</v>
      </c>
      <c r="AA199" s="795"/>
    </row>
    <row r="200" spans="1:27" ht="15">
      <c r="A200" s="435">
        <f t="shared" si="91"/>
        <v>200</v>
      </c>
      <c r="B200" s="889"/>
      <c r="C200" s="890"/>
      <c r="D200" s="890"/>
      <c r="E200" s="885"/>
      <c r="F200" s="886"/>
      <c r="G200" s="886"/>
      <c r="H200" s="887"/>
      <c r="I200" s="903"/>
      <c r="J200" s="903"/>
      <c r="K200" s="903"/>
      <c r="M200" s="903"/>
      <c r="N200" s="903"/>
      <c r="P200" s="903"/>
      <c r="Q200" s="903"/>
      <c r="S200" s="903"/>
      <c r="T200" s="903"/>
      <c r="U200" s="693"/>
      <c r="V200" s="793"/>
      <c r="W200" s="903"/>
      <c r="Y200" s="903"/>
      <c r="Z200" s="903"/>
      <c r="AA200" s="795"/>
    </row>
    <row r="201" spans="1:27" ht="15">
      <c r="A201" s="435">
        <f t="shared" si="91"/>
        <v>201</v>
      </c>
      <c r="B201" s="883" t="s">
        <v>96</v>
      </c>
      <c r="C201" s="904"/>
      <c r="D201" s="904"/>
      <c r="E201" s="884"/>
      <c r="F201" s="905"/>
      <c r="G201" s="886"/>
      <c r="H201" s="887"/>
      <c r="I201" s="870">
        <f t="shared" ref="I201:Z201" si="94">I159+I199</f>
        <v>0</v>
      </c>
      <c r="J201" s="871">
        <f t="shared" si="94"/>
        <v>0</v>
      </c>
      <c r="K201" s="906">
        <f t="shared" si="94"/>
        <v>0</v>
      </c>
      <c r="L201" s="906">
        <f t="shared" si="94"/>
        <v>0</v>
      </c>
      <c r="M201" s="906">
        <f t="shared" si="94"/>
        <v>0</v>
      </c>
      <c r="N201" s="906">
        <f t="shared" si="94"/>
        <v>0</v>
      </c>
      <c r="O201" s="906">
        <f t="shared" si="94"/>
        <v>0</v>
      </c>
      <c r="P201" s="906">
        <f t="shared" si="94"/>
        <v>0</v>
      </c>
      <c r="Q201" s="906">
        <f t="shared" si="94"/>
        <v>0</v>
      </c>
      <c r="R201" s="906">
        <f t="shared" si="94"/>
        <v>0</v>
      </c>
      <c r="S201" s="906">
        <f t="shared" si="94"/>
        <v>0</v>
      </c>
      <c r="T201" s="906">
        <f t="shared" si="94"/>
        <v>0</v>
      </c>
      <c r="U201" s="799">
        <f t="shared" si="94"/>
        <v>0</v>
      </c>
      <c r="V201" s="792">
        <f t="shared" si="94"/>
        <v>0</v>
      </c>
      <c r="W201" s="906">
        <f t="shared" si="94"/>
        <v>0</v>
      </c>
      <c r="X201" s="864">
        <f t="shared" si="94"/>
        <v>0</v>
      </c>
      <c r="Y201" s="863">
        <f t="shared" si="94"/>
        <v>0</v>
      </c>
      <c r="Z201" s="862">
        <f t="shared" si="94"/>
        <v>0</v>
      </c>
      <c r="AA201" s="795"/>
    </row>
    <row r="202" spans="1:27" ht="15">
      <c r="A202" s="435">
        <f t="shared" si="91"/>
        <v>202</v>
      </c>
      <c r="B202" s="889"/>
      <c r="C202" s="890"/>
      <c r="D202" s="890"/>
      <c r="E202" s="885"/>
      <c r="F202" s="886"/>
      <c r="G202" s="886"/>
      <c r="H202" s="887"/>
      <c r="I202" s="903"/>
      <c r="J202" s="903"/>
      <c r="K202" s="903"/>
      <c r="M202" s="903"/>
      <c r="N202" s="903"/>
      <c r="P202" s="903"/>
      <c r="Q202" s="903"/>
      <c r="S202" s="903"/>
      <c r="T202" s="903"/>
      <c r="U202" s="693"/>
      <c r="V202" s="793"/>
      <c r="W202" s="903"/>
      <c r="Y202" s="903"/>
      <c r="Z202" s="903"/>
      <c r="AA202" s="795"/>
    </row>
    <row r="203" spans="1:27" ht="15">
      <c r="A203" s="435">
        <f t="shared" si="91"/>
        <v>203</v>
      </c>
      <c r="B203" s="883" t="s">
        <v>564</v>
      </c>
      <c r="C203" s="885"/>
      <c r="D203" s="885"/>
      <c r="E203" s="885"/>
      <c r="F203" s="886"/>
      <c r="G203" s="886"/>
      <c r="H203" s="887"/>
      <c r="I203" s="876">
        <v>0</v>
      </c>
      <c r="J203" s="871">
        <f>I205</f>
        <v>0</v>
      </c>
      <c r="K203" s="906">
        <f>IF(K9&lt;&gt;0,J203,0)</f>
        <v>0</v>
      </c>
      <c r="L203" s="606">
        <f>IF(K$18&lt;&gt;0,J203-K203,0)</f>
        <v>0</v>
      </c>
      <c r="M203" s="906">
        <f>J205</f>
        <v>0</v>
      </c>
      <c r="N203" s="906">
        <f>IF(N9&lt;&gt;0,M203,0)</f>
        <v>0</v>
      </c>
      <c r="O203" s="606">
        <f>IF(N$18&lt;&gt;0,M203-N203,0)</f>
        <v>0</v>
      </c>
      <c r="P203" s="906">
        <f>M205</f>
        <v>0</v>
      </c>
      <c r="Q203" s="906">
        <f>IF(Q9&lt;&gt;0,P203,0)</f>
        <v>0</v>
      </c>
      <c r="R203" s="606">
        <f>IF(Q$18&lt;&gt;0,P203-Q203,0)</f>
        <v>0</v>
      </c>
      <c r="S203" s="906">
        <f>P205</f>
        <v>0</v>
      </c>
      <c r="T203" s="906">
        <f>IF(T9&lt;&gt;0,S203,0)</f>
        <v>0</v>
      </c>
      <c r="U203" s="607">
        <f>IF(T$18&lt;&gt;0,S203-T203,0)</f>
        <v>0</v>
      </c>
      <c r="V203" s="792">
        <f>J203</f>
        <v>0</v>
      </c>
      <c r="W203" s="609">
        <f>SUM(IF(K$6&lt;&gt;0,K203,J203))</f>
        <v>0</v>
      </c>
      <c r="X203" s="605">
        <f>IF(W$18&lt;&gt;0,V203-W203,0)</f>
        <v>0</v>
      </c>
      <c r="Y203" s="605">
        <f>V203-I203</f>
        <v>0</v>
      </c>
      <c r="Z203" s="652">
        <f>W203-I203</f>
        <v>0</v>
      </c>
      <c r="AA203" s="795"/>
    </row>
    <row r="204" spans="1:27" ht="15">
      <c r="A204" s="435">
        <f t="shared" si="91"/>
        <v>204</v>
      </c>
      <c r="B204" s="889"/>
      <c r="C204" s="890"/>
      <c r="D204" s="890"/>
      <c r="E204" s="885"/>
      <c r="F204" s="886"/>
      <c r="G204" s="886"/>
      <c r="H204" s="887"/>
      <c r="I204" s="896"/>
      <c r="J204" s="896"/>
      <c r="K204" s="896"/>
      <c r="M204" s="896"/>
      <c r="N204" s="896"/>
      <c r="P204" s="896"/>
      <c r="Q204" s="896"/>
      <c r="S204" s="896"/>
      <c r="T204" s="896"/>
      <c r="U204" s="693"/>
      <c r="V204" s="791"/>
      <c r="W204" s="896"/>
      <c r="Y204" s="896"/>
      <c r="Z204" s="896"/>
      <c r="AA204" s="795"/>
    </row>
    <row r="205" spans="1:27" ht="15.75" thickBot="1">
      <c r="A205" s="435">
        <f t="shared" si="91"/>
        <v>205</v>
      </c>
      <c r="B205" s="893" t="s">
        <v>565</v>
      </c>
      <c r="C205" s="894"/>
      <c r="D205" s="894"/>
      <c r="E205" s="894"/>
      <c r="F205" s="907"/>
      <c r="G205" s="897"/>
      <c r="H205" s="908"/>
      <c r="I205" s="868">
        <f>I201+I203</f>
        <v>0</v>
      </c>
      <c r="J205" s="869">
        <f t="shared" ref="J205:Z205" si="95">J201+J203</f>
        <v>0</v>
      </c>
      <c r="K205" s="909">
        <f t="shared" si="95"/>
        <v>0</v>
      </c>
      <c r="L205" s="909">
        <f t="shared" si="95"/>
        <v>0</v>
      </c>
      <c r="M205" s="909">
        <f t="shared" si="95"/>
        <v>0</v>
      </c>
      <c r="N205" s="909">
        <f t="shared" si="95"/>
        <v>0</v>
      </c>
      <c r="O205" s="909">
        <f t="shared" si="95"/>
        <v>0</v>
      </c>
      <c r="P205" s="909">
        <f t="shared" si="95"/>
        <v>0</v>
      </c>
      <c r="Q205" s="909">
        <f t="shared" si="95"/>
        <v>0</v>
      </c>
      <c r="R205" s="909">
        <f t="shared" si="95"/>
        <v>0</v>
      </c>
      <c r="S205" s="909">
        <f t="shared" si="95"/>
        <v>0</v>
      </c>
      <c r="T205" s="909">
        <f t="shared" si="95"/>
        <v>0</v>
      </c>
      <c r="U205" s="798">
        <f t="shared" si="95"/>
        <v>0</v>
      </c>
      <c r="V205" s="790">
        <f>S205</f>
        <v>0</v>
      </c>
      <c r="W205" s="789">
        <f>SUM(IF(T$6&lt;&gt;0,T205,S205))</f>
        <v>0</v>
      </c>
      <c r="X205" s="861">
        <f t="shared" si="95"/>
        <v>0</v>
      </c>
      <c r="Y205" s="860">
        <f t="shared" si="95"/>
        <v>0</v>
      </c>
      <c r="Z205" s="859">
        <f t="shared" si="95"/>
        <v>0</v>
      </c>
      <c r="AA205" s="788"/>
    </row>
    <row r="206" spans="1:27" ht="13.5" thickTop="1"/>
    <row r="207" spans="1:27">
      <c r="J207" s="858"/>
      <c r="S207" s="858"/>
    </row>
  </sheetData>
  <sheetProtection algorithmName="SHA-512" hashValue="8TTGhDq732XD8N1y6U/ddo7jI+797cfym993g7ie74G1avHH+DaYgx8srK13Zhs92/ItBxoY+AQ8AFp2ebtk6g==" saltValue="GcGUwgOCTVjRTTg1ByUXrg==" spinCount="100000" sheet="1" objects="1" scenarios="1"/>
  <mergeCells count="19">
    <mergeCell ref="D195:G195"/>
    <mergeCell ref="D196:G196"/>
    <mergeCell ref="D187:G187"/>
    <mergeCell ref="D188:G188"/>
    <mergeCell ref="D191:G191"/>
    <mergeCell ref="D192:G192"/>
    <mergeCell ref="V3:Z3"/>
    <mergeCell ref="D34:E34"/>
    <mergeCell ref="S12:U12"/>
    <mergeCell ref="V12:X12"/>
    <mergeCell ref="Y12:Z12"/>
    <mergeCell ref="B12:E13"/>
    <mergeCell ref="G12:G13"/>
    <mergeCell ref="H12:H13"/>
    <mergeCell ref="J12:L12"/>
    <mergeCell ref="M12:O12"/>
    <mergeCell ref="P12:R12"/>
    <mergeCell ref="I14:I16"/>
    <mergeCell ref="J14:U16"/>
  </mergeCells>
  <conditionalFormatting sqref="I2:U2">
    <cfRule type="expression" dxfId="53" priority="2">
      <formula>$I$2=Mssg1</formula>
    </cfRule>
  </conditionalFormatting>
  <conditionalFormatting sqref="I4:U4">
    <cfRule type="expression" dxfId="52" priority="1">
      <formula>$I$4=Mssg2</formula>
    </cfRule>
  </conditionalFormatting>
  <dataValidations disablePrompts="1" count="5">
    <dataValidation errorStyle="information" allowBlank="1" showInputMessage="1" showErrorMessage="1" promptTitle="&quot;All OTHER Districts - Revenue&quot;" prompt="Please enter combined Revenue Per Pupil from &quot;All Other Schoool Districts. (Only enter when there are 16+ districts represented)." sqref="I33" xr:uid="{00000000-0002-0000-0500-000000000000}"/>
    <dataValidation type="custom" operator="lessThanOrEqual" allowBlank="1" showInputMessage="1" showErrorMessage="1" sqref="M17:N17 P17" xr:uid="{00000000-0002-0000-0500-000001000000}">
      <formula1>AND(S17&gt;=0,S17&lt;=1)</formula1>
    </dataValidation>
    <dataValidation type="custom" operator="lessThanOrEqual" allowBlank="1" showInputMessage="1" showErrorMessage="1" sqref="J17:K17" xr:uid="{00000000-0002-0000-0500-000002000000}">
      <formula1>AND(S17&gt;=0,S17&lt;=1)</formula1>
    </dataValidation>
    <dataValidation type="decimal" allowBlank="1" showInputMessage="1" showErrorMessage="1" sqref="S17:T17" xr:uid="{00000000-0002-0000-0500-000003000000}">
      <formula1>0</formula1>
      <formula2>1</formula2>
    </dataValidation>
    <dataValidation type="custom" operator="lessThanOrEqual" allowBlank="1" showInputMessage="1" showErrorMessage="1" sqref="Q17" xr:uid="{00000000-0002-0000-0500-000004000000}">
      <formula1>AND(T17&gt;=0,T17&lt;=1)</formula1>
    </dataValidation>
  </dataValidations>
  <printOptions horizontalCentered="1"/>
  <pageMargins left="0.49" right="0.45" top="0.31" bottom="0.28000000000000003" header="0.3" footer="0.3"/>
  <pageSetup scale="53" orientation="landscape" r:id="rId1"/>
  <headerFooter>
    <oddFooter>&amp;CPage &amp;P of &amp;N&amp;R&amp;F</oddFooter>
  </headerFooter>
  <rowBreaks count="3" manualBreakCount="3">
    <brk id="66" min="1" max="26" man="1"/>
    <brk id="118" min="1" max="26" man="1"/>
    <brk id="159" min="1" max="26" man="1"/>
  </rowBreaks>
  <colBreaks count="1" manualBreakCount="1">
    <brk id="21" min="1" max="181" man="1"/>
  </colBreaks>
  <ignoredErrors>
    <ignoredError sqref="L34 O34 R34 U34 V34:Z34 L159:U159" formula="1"/>
    <ignoredError sqref="I178:K178 M178 N178:T178" formulaRange="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3366"/>
    <pageSetUpPr fitToPage="1"/>
  </sheetPr>
  <dimension ref="A1:J50"/>
  <sheetViews>
    <sheetView showGridLines="0" topLeftCell="B2" zoomScale="80" zoomScaleNormal="80" zoomScaleSheetLayoutView="90" workbookViewId="0">
      <selection activeCell="E13" sqref="E13"/>
    </sheetView>
  </sheetViews>
  <sheetFormatPr defaultRowHeight="12.75"/>
  <cols>
    <col min="1" max="1" width="3.5703125" hidden="1" customWidth="1"/>
    <col min="2" max="2" width="3" customWidth="1"/>
    <col min="3" max="3" width="33.7109375" customWidth="1"/>
    <col min="4" max="4" width="40.7109375" customWidth="1"/>
    <col min="5" max="5" width="15.7109375" customWidth="1"/>
    <col min="6" max="6" width="1.7109375" customWidth="1"/>
    <col min="7" max="10" width="15.7109375" customWidth="1"/>
  </cols>
  <sheetData>
    <row r="1" spans="1:10" hidden="1">
      <c r="A1" s="776">
        <v>1</v>
      </c>
      <c r="B1" s="224"/>
      <c r="C1" s="224"/>
      <c r="D1" s="224"/>
      <c r="E1" s="742">
        <v>0</v>
      </c>
      <c r="F1" s="742"/>
      <c r="G1" s="742">
        <v>1</v>
      </c>
      <c r="H1" s="742">
        <v>2</v>
      </c>
      <c r="I1" s="742">
        <v>3</v>
      </c>
      <c r="J1" s="742">
        <v>4</v>
      </c>
    </row>
    <row r="2" spans="1:10" ht="18.75">
      <c r="A2" s="776">
        <v>2</v>
      </c>
      <c r="B2" s="1011" t="str">
        <f>IF(School="",Mssg1,School)</f>
        <v>Please enter school name on tab - "1) Name of School"</v>
      </c>
      <c r="C2" s="1011"/>
      <c r="D2" s="1011"/>
      <c r="E2" s="1011"/>
      <c r="F2" s="1011"/>
      <c r="G2" s="1011"/>
      <c r="H2" s="1011"/>
      <c r="I2" s="1011"/>
      <c r="J2" s="1011"/>
    </row>
    <row r="3" spans="1:10" ht="18.75">
      <c r="A3" s="776">
        <v>3</v>
      </c>
      <c r="B3" s="218" t="s">
        <v>192</v>
      </c>
      <c r="C3" s="218"/>
      <c r="D3" s="218"/>
      <c r="E3" s="218"/>
      <c r="F3" s="218"/>
      <c r="G3" s="218"/>
      <c r="H3" s="218"/>
      <c r="I3" s="218"/>
      <c r="J3" s="218"/>
    </row>
    <row r="4" spans="1:10" ht="18.75">
      <c r="A4" s="776">
        <v>4</v>
      </c>
      <c r="B4" s="1012" t="str">
        <f>IF(CONTROL!J12=0,Mssg2,AcadYr1)</f>
        <v>2024-25</v>
      </c>
      <c r="C4" s="1012"/>
      <c r="D4" s="1012"/>
      <c r="E4" s="1012"/>
      <c r="F4" s="1012"/>
      <c r="G4" s="1012"/>
      <c r="H4" s="1012"/>
      <c r="I4" s="1012"/>
      <c r="J4" s="1012"/>
    </row>
    <row r="5" spans="1:10" ht="15">
      <c r="A5" s="776">
        <v>5</v>
      </c>
      <c r="B5" s="1"/>
      <c r="C5" s="1"/>
      <c r="D5" s="1"/>
      <c r="E5" s="1"/>
      <c r="F5" s="1"/>
      <c r="G5" s="1"/>
      <c r="H5" s="1"/>
      <c r="I5" s="1"/>
      <c r="J5" s="1"/>
    </row>
    <row r="6" spans="1:10" ht="15">
      <c r="A6" s="776">
        <v>6</v>
      </c>
      <c r="B6" s="1"/>
      <c r="C6" s="1"/>
      <c r="D6" s="1"/>
      <c r="E6" s="923" t="s">
        <v>193</v>
      </c>
      <c r="F6" s="743"/>
      <c r="G6" s="923" t="s">
        <v>194</v>
      </c>
      <c r="H6" s="923" t="s">
        <v>195</v>
      </c>
      <c r="I6" s="923" t="s">
        <v>196</v>
      </c>
      <c r="J6" s="923" t="s">
        <v>197</v>
      </c>
    </row>
    <row r="7" spans="1:10" ht="30.75" customHeight="1" thickBot="1">
      <c r="A7" s="776">
        <v>7</v>
      </c>
      <c r="B7" s="1"/>
      <c r="C7" s="518"/>
      <c r="D7" s="1"/>
      <c r="E7" s="744" t="str">
        <f>PriorPeriod</f>
        <v>2023-24</v>
      </c>
      <c r="F7" s="30"/>
      <c r="G7" s="744" t="s">
        <v>198</v>
      </c>
      <c r="H7" s="744" t="s">
        <v>199</v>
      </c>
      <c r="I7" s="744" t="s">
        <v>200</v>
      </c>
      <c r="J7" s="744" t="s">
        <v>201</v>
      </c>
    </row>
    <row r="8" spans="1:10" ht="15" customHeight="1">
      <c r="A8" s="776">
        <v>8</v>
      </c>
      <c r="B8" s="1013" t="s">
        <v>202</v>
      </c>
      <c r="C8" s="1013"/>
      <c r="D8" s="1013"/>
      <c r="E8" s="30"/>
      <c r="F8" s="30"/>
      <c r="G8" s="30"/>
      <c r="H8" s="30"/>
      <c r="I8" s="30"/>
      <c r="J8" s="30"/>
    </row>
    <row r="9" spans="1:10" ht="15">
      <c r="A9" s="776">
        <v>9</v>
      </c>
      <c r="B9" s="1"/>
      <c r="C9" s="1"/>
      <c r="D9" s="1"/>
      <c r="E9" s="1"/>
      <c r="F9" s="1"/>
      <c r="G9" s="1"/>
      <c r="H9" s="1"/>
      <c r="I9" s="1"/>
      <c r="J9" s="1"/>
    </row>
    <row r="10" spans="1:10" ht="15">
      <c r="A10" s="776">
        <v>10</v>
      </c>
      <c r="B10" s="745" t="s">
        <v>203</v>
      </c>
      <c r="C10" s="746"/>
      <c r="D10" s="747"/>
      <c r="E10" s="748"/>
      <c r="F10" s="748"/>
      <c r="G10" s="108"/>
      <c r="H10" s="108"/>
      <c r="I10" s="108"/>
      <c r="J10" s="108"/>
    </row>
    <row r="11" spans="1:10" ht="15">
      <c r="A11" s="776">
        <v>11</v>
      </c>
      <c r="B11" s="1"/>
      <c r="C11" s="4" t="s">
        <v>204</v>
      </c>
      <c r="D11" s="4"/>
      <c r="E11" s="620">
        <v>0</v>
      </c>
      <c r="F11" s="749"/>
      <c r="G11" s="620">
        <v>0</v>
      </c>
      <c r="H11" s="620">
        <v>0</v>
      </c>
      <c r="I11" s="620">
        <v>0</v>
      </c>
      <c r="J11" s="620">
        <v>0</v>
      </c>
    </row>
    <row r="12" spans="1:10" ht="15">
      <c r="A12" s="776">
        <v>12</v>
      </c>
      <c r="B12" s="1"/>
      <c r="C12" s="1" t="s">
        <v>205</v>
      </c>
      <c r="D12" s="4"/>
      <c r="E12" s="620">
        <v>0</v>
      </c>
      <c r="F12" s="39"/>
      <c r="G12" s="620">
        <v>0</v>
      </c>
      <c r="H12" s="620">
        <v>0</v>
      </c>
      <c r="I12" s="620">
        <v>0</v>
      </c>
      <c r="J12" s="620">
        <v>0</v>
      </c>
    </row>
    <row r="13" spans="1:10" ht="15">
      <c r="A13" s="776">
        <v>13</v>
      </c>
      <c r="B13" s="1"/>
      <c r="C13" s="1" t="s">
        <v>206</v>
      </c>
      <c r="D13" s="4"/>
      <c r="E13" s="620">
        <v>0</v>
      </c>
      <c r="F13" s="39"/>
      <c r="G13" s="620">
        <v>0</v>
      </c>
      <c r="H13" s="620">
        <v>0</v>
      </c>
      <c r="I13" s="620">
        <v>0</v>
      </c>
      <c r="J13" s="620">
        <v>0</v>
      </c>
    </row>
    <row r="14" spans="1:10" ht="15">
      <c r="A14" s="776">
        <v>14</v>
      </c>
      <c r="B14" s="1"/>
      <c r="C14" s="1" t="s">
        <v>207</v>
      </c>
      <c r="D14" s="4"/>
      <c r="E14" s="620">
        <v>0</v>
      </c>
      <c r="F14" s="108"/>
      <c r="G14" s="620">
        <v>0</v>
      </c>
      <c r="H14" s="620">
        <v>0</v>
      </c>
      <c r="I14" s="620">
        <v>0</v>
      </c>
      <c r="J14" s="620">
        <v>0</v>
      </c>
    </row>
    <row r="15" spans="1:10" ht="17.25">
      <c r="A15" s="776">
        <v>15</v>
      </c>
      <c r="B15" s="1"/>
      <c r="C15" s="1" t="s">
        <v>208</v>
      </c>
      <c r="D15" s="4"/>
      <c r="E15" s="628">
        <v>0</v>
      </c>
      <c r="F15" s="108"/>
      <c r="G15" s="628">
        <v>0</v>
      </c>
      <c r="H15" s="628">
        <v>0</v>
      </c>
      <c r="I15" s="628">
        <v>0</v>
      </c>
      <c r="J15" s="628">
        <v>0</v>
      </c>
    </row>
    <row r="16" spans="1:10" ht="15">
      <c r="A16" s="776">
        <v>16</v>
      </c>
      <c r="B16" s="1"/>
      <c r="C16" s="4"/>
      <c r="D16" s="750" t="s">
        <v>209</v>
      </c>
      <c r="E16" s="108">
        <f>SUM(E11:E15)</f>
        <v>0</v>
      </c>
      <c r="F16" s="108"/>
      <c r="G16" s="108">
        <f>SUM(G11:G15)</f>
        <v>0</v>
      </c>
      <c r="H16" s="108">
        <f>SUM(H11:H15)</f>
        <v>0</v>
      </c>
      <c r="I16" s="108">
        <f>SUM(I11:I15)</f>
        <v>0</v>
      </c>
      <c r="J16" s="108">
        <f>SUM(J11:J15)</f>
        <v>0</v>
      </c>
    </row>
    <row r="17" spans="1:10" ht="15">
      <c r="A17" s="776">
        <v>17</v>
      </c>
      <c r="B17" s="1"/>
      <c r="C17" s="1"/>
      <c r="D17" s="1"/>
      <c r="E17" s="1"/>
      <c r="F17" s="1"/>
      <c r="G17" s="1"/>
      <c r="H17" s="1"/>
      <c r="I17" s="1"/>
      <c r="J17" s="1"/>
    </row>
    <row r="18" spans="1:10" ht="15">
      <c r="A18" s="776">
        <v>18</v>
      </c>
      <c r="B18" s="29" t="s">
        <v>210</v>
      </c>
      <c r="C18" s="4"/>
      <c r="D18" s="4"/>
      <c r="E18" s="620">
        <v>0</v>
      </c>
      <c r="F18" s="108"/>
      <c r="G18" s="620">
        <v>0</v>
      </c>
      <c r="H18" s="620">
        <v>0</v>
      </c>
      <c r="I18" s="620">
        <v>0</v>
      </c>
      <c r="J18" s="620">
        <v>0</v>
      </c>
    </row>
    <row r="19" spans="1:10" ht="15">
      <c r="A19" s="776">
        <v>19</v>
      </c>
      <c r="B19" s="1"/>
      <c r="C19" s="1"/>
      <c r="D19" s="1"/>
      <c r="E19" s="1"/>
      <c r="F19" s="1"/>
      <c r="G19" s="1"/>
      <c r="H19" s="1"/>
      <c r="I19" s="1"/>
      <c r="J19" s="1"/>
    </row>
    <row r="20" spans="1:10" ht="15">
      <c r="A20" s="776">
        <v>20</v>
      </c>
      <c r="B20" s="29" t="s">
        <v>211</v>
      </c>
      <c r="C20" s="4"/>
      <c r="D20" s="4"/>
      <c r="E20" s="946"/>
      <c r="F20" s="108"/>
      <c r="G20" s="946"/>
      <c r="H20" s="946"/>
      <c r="I20" s="946"/>
      <c r="J20" s="946"/>
    </row>
    <row r="21" spans="1:10" ht="15">
      <c r="A21" s="776"/>
      <c r="B21" s="29"/>
      <c r="C21" s="4" t="s">
        <v>1366</v>
      </c>
      <c r="D21" s="4"/>
      <c r="E21" s="620">
        <v>0</v>
      </c>
      <c r="F21" s="39"/>
      <c r="G21" s="620">
        <v>0</v>
      </c>
      <c r="H21" s="620">
        <v>0</v>
      </c>
      <c r="I21" s="620">
        <v>0</v>
      </c>
      <c r="J21" s="620">
        <v>0</v>
      </c>
    </row>
    <row r="22" spans="1:10" ht="17.25">
      <c r="A22" s="776">
        <v>21</v>
      </c>
      <c r="B22" s="1"/>
      <c r="C22" s="1" t="s">
        <v>29</v>
      </c>
      <c r="D22" s="1"/>
      <c r="E22" s="628">
        <v>0</v>
      </c>
      <c r="F22" s="39">
        <v>0</v>
      </c>
      <c r="G22" s="628">
        <v>0</v>
      </c>
      <c r="H22" s="628">
        <v>0</v>
      </c>
      <c r="I22" s="628">
        <v>0</v>
      </c>
      <c r="J22" s="628">
        <v>0</v>
      </c>
    </row>
    <row r="23" spans="1:10" ht="15">
      <c r="A23" s="776"/>
      <c r="B23" s="1"/>
      <c r="C23" s="1"/>
      <c r="D23" s="1"/>
      <c r="E23" s="1"/>
      <c r="F23" s="1"/>
      <c r="G23" s="1"/>
      <c r="H23" s="1"/>
      <c r="I23" s="1"/>
      <c r="J23" s="1"/>
    </row>
    <row r="24" spans="1:10" ht="15.75" thickBot="1">
      <c r="A24" s="776">
        <v>22</v>
      </c>
      <c r="B24" s="1"/>
      <c r="C24" s="4"/>
      <c r="D24" s="699" t="s">
        <v>212</v>
      </c>
      <c r="E24" s="751">
        <f>E16+E18+E21+E22</f>
        <v>0</v>
      </c>
      <c r="F24" s="39"/>
      <c r="G24" s="751">
        <f>G16+G18+G21+G22</f>
        <v>0</v>
      </c>
      <c r="H24" s="751">
        <f t="shared" ref="H24:J24" si="0">H16+H18+H21+H22</f>
        <v>0</v>
      </c>
      <c r="I24" s="751">
        <f t="shared" si="0"/>
        <v>0</v>
      </c>
      <c r="J24" s="751">
        <f t="shared" si="0"/>
        <v>0</v>
      </c>
    </row>
    <row r="25" spans="1:10" ht="15.75" thickTop="1">
      <c r="A25" s="776">
        <v>23</v>
      </c>
      <c r="B25" s="1"/>
      <c r="C25" s="1"/>
      <c r="D25" s="1"/>
      <c r="E25" s="1"/>
      <c r="F25" s="1"/>
      <c r="G25" s="1"/>
      <c r="H25" s="1"/>
      <c r="I25" s="1"/>
      <c r="J25" s="1"/>
    </row>
    <row r="26" spans="1:10" ht="15" customHeight="1">
      <c r="A26" s="776">
        <v>24</v>
      </c>
      <c r="B26" s="1013" t="s">
        <v>213</v>
      </c>
      <c r="C26" s="1013"/>
      <c r="D26" s="1013"/>
      <c r="E26" s="108"/>
      <c r="F26" s="108"/>
      <c r="G26" s="108"/>
      <c r="H26" s="108"/>
      <c r="I26" s="108"/>
      <c r="J26" s="108"/>
    </row>
    <row r="27" spans="1:10" ht="15">
      <c r="A27" s="776">
        <v>25</v>
      </c>
      <c r="B27" s="1"/>
      <c r="C27" s="1"/>
      <c r="D27" s="1"/>
      <c r="E27" s="1"/>
      <c r="F27" s="1"/>
      <c r="G27" s="1"/>
      <c r="H27" s="1"/>
      <c r="I27" s="1"/>
      <c r="J27" s="1"/>
    </row>
    <row r="28" spans="1:10" ht="15">
      <c r="A28" s="776">
        <v>26</v>
      </c>
      <c r="B28" s="745" t="s">
        <v>214</v>
      </c>
      <c r="C28" s="752"/>
      <c r="D28" s="752"/>
      <c r="E28" s="108"/>
      <c r="F28" s="108"/>
      <c r="G28" s="108"/>
      <c r="H28" s="108"/>
      <c r="I28" s="108"/>
      <c r="J28" s="108"/>
    </row>
    <row r="29" spans="1:10" ht="15">
      <c r="A29" s="776">
        <v>27</v>
      </c>
      <c r="B29" s="1"/>
      <c r="C29" s="1" t="s">
        <v>215</v>
      </c>
      <c r="D29" s="4"/>
      <c r="E29" s="620">
        <v>0</v>
      </c>
      <c r="F29" s="749"/>
      <c r="G29" s="620">
        <v>0</v>
      </c>
      <c r="H29" s="620">
        <v>0</v>
      </c>
      <c r="I29" s="620">
        <v>0</v>
      </c>
      <c r="J29" s="620">
        <v>0</v>
      </c>
    </row>
    <row r="30" spans="1:10" ht="15">
      <c r="A30" s="776">
        <v>28</v>
      </c>
      <c r="B30" s="1"/>
      <c r="C30" s="1" t="s">
        <v>216</v>
      </c>
      <c r="D30" s="4"/>
      <c r="E30" s="620">
        <v>0</v>
      </c>
      <c r="F30" s="108"/>
      <c r="G30" s="620">
        <v>0</v>
      </c>
      <c r="H30" s="620">
        <v>0</v>
      </c>
      <c r="I30" s="620">
        <v>0</v>
      </c>
      <c r="J30" s="620">
        <v>0</v>
      </c>
    </row>
    <row r="31" spans="1:10" ht="15">
      <c r="A31" s="776">
        <v>29</v>
      </c>
      <c r="B31" s="1"/>
      <c r="C31" s="1" t="s">
        <v>364</v>
      </c>
      <c r="D31" s="4"/>
      <c r="E31" s="620">
        <v>0</v>
      </c>
      <c r="F31" s="108"/>
      <c r="G31" s="620">
        <v>0</v>
      </c>
      <c r="H31" s="620">
        <v>0</v>
      </c>
      <c r="I31" s="620">
        <v>0</v>
      </c>
      <c r="J31" s="620">
        <v>0</v>
      </c>
    </row>
    <row r="32" spans="1:10" ht="15">
      <c r="A32" s="776">
        <v>30</v>
      </c>
      <c r="B32" s="1"/>
      <c r="C32" s="1" t="s">
        <v>217</v>
      </c>
      <c r="D32" s="4"/>
      <c r="E32" s="620">
        <v>0</v>
      </c>
      <c r="F32" s="108"/>
      <c r="G32" s="620">
        <v>0</v>
      </c>
      <c r="H32" s="620">
        <v>0</v>
      </c>
      <c r="I32" s="620">
        <v>0</v>
      </c>
      <c r="J32" s="620">
        <v>0</v>
      </c>
    </row>
    <row r="33" spans="1:10" ht="15">
      <c r="A33" s="776">
        <v>31</v>
      </c>
      <c r="B33" s="1"/>
      <c r="C33" s="1" t="s">
        <v>218</v>
      </c>
      <c r="D33" s="4"/>
      <c r="E33" s="620">
        <v>0</v>
      </c>
      <c r="F33" s="108"/>
      <c r="G33" s="620">
        <v>0</v>
      </c>
      <c r="H33" s="620">
        <v>0</v>
      </c>
      <c r="I33" s="620">
        <v>0</v>
      </c>
      <c r="J33" s="620">
        <v>0</v>
      </c>
    </row>
    <row r="34" spans="1:10" ht="15">
      <c r="A34" s="776"/>
      <c r="B34" s="1"/>
      <c r="C34" s="1" t="s">
        <v>1367</v>
      </c>
      <c r="D34" s="4"/>
      <c r="E34" s="620">
        <v>0</v>
      </c>
      <c r="F34" s="108"/>
      <c r="G34" s="620">
        <v>0</v>
      </c>
      <c r="H34" s="620">
        <v>0</v>
      </c>
      <c r="I34" s="620">
        <v>0</v>
      </c>
      <c r="J34" s="620">
        <v>0</v>
      </c>
    </row>
    <row r="35" spans="1:10" ht="17.25">
      <c r="A35" s="776">
        <v>32</v>
      </c>
      <c r="B35" s="1"/>
      <c r="C35" s="1" t="s">
        <v>37</v>
      </c>
      <c r="D35" s="1"/>
      <c r="E35" s="628">
        <v>0</v>
      </c>
      <c r="F35" s="108"/>
      <c r="G35" s="628">
        <v>0</v>
      </c>
      <c r="H35" s="628">
        <v>0</v>
      </c>
      <c r="I35" s="628">
        <v>0</v>
      </c>
      <c r="J35" s="628">
        <v>0</v>
      </c>
    </row>
    <row r="36" spans="1:10" ht="15">
      <c r="A36" s="776">
        <v>33</v>
      </c>
      <c r="B36" s="1"/>
      <c r="C36" s="1"/>
      <c r="D36" s="750" t="s">
        <v>219</v>
      </c>
      <c r="E36" s="108">
        <f>SUM(E29:E35)</f>
        <v>0</v>
      </c>
      <c r="F36" s="108"/>
      <c r="G36" s="108">
        <f>SUM(G29:G35)</f>
        <v>0</v>
      </c>
      <c r="H36" s="108">
        <f>SUM(H29:H35)</f>
        <v>0</v>
      </c>
      <c r="I36" s="108">
        <f>SUM(I29:I35)</f>
        <v>0</v>
      </c>
      <c r="J36" s="108">
        <f>SUM(J29:J35)</f>
        <v>0</v>
      </c>
    </row>
    <row r="37" spans="1:10" ht="15">
      <c r="A37" s="776">
        <v>34</v>
      </c>
      <c r="B37" s="1"/>
      <c r="C37" s="1"/>
      <c r="D37" s="1"/>
      <c r="E37" s="1"/>
      <c r="F37" s="1"/>
      <c r="G37" s="1"/>
      <c r="H37" s="1"/>
      <c r="I37" s="1"/>
      <c r="J37" s="1"/>
    </row>
    <row r="38" spans="1:10" ht="15">
      <c r="A38" s="776">
        <v>35</v>
      </c>
      <c r="B38" s="745"/>
      <c r="C38" s="26" t="s">
        <v>220</v>
      </c>
      <c r="D38" s="4"/>
      <c r="E38" s="620">
        <v>0</v>
      </c>
      <c r="F38" s="108"/>
      <c r="G38" s="620">
        <v>0</v>
      </c>
      <c r="H38" s="620">
        <v>0</v>
      </c>
      <c r="I38" s="620">
        <v>0</v>
      </c>
      <c r="J38" s="620">
        <v>0</v>
      </c>
    </row>
    <row r="39" spans="1:10" ht="17.25">
      <c r="A39" s="776">
        <v>36</v>
      </c>
      <c r="B39" s="1"/>
      <c r="C39" s="26" t="s">
        <v>1368</v>
      </c>
      <c r="D39" s="1"/>
      <c r="E39" s="628">
        <v>0</v>
      </c>
      <c r="F39" s="753"/>
      <c r="G39" s="628">
        <v>0</v>
      </c>
      <c r="H39" s="628">
        <v>0</v>
      </c>
      <c r="I39" s="628">
        <v>0</v>
      </c>
      <c r="J39" s="628">
        <v>0</v>
      </c>
    </row>
    <row r="40" spans="1:10" ht="15">
      <c r="A40" s="776"/>
      <c r="B40" s="1"/>
      <c r="C40" s="1"/>
      <c r="D40" s="1"/>
      <c r="E40" s="1"/>
      <c r="F40" s="1"/>
      <c r="G40" s="1"/>
      <c r="H40" s="1"/>
      <c r="I40" s="1"/>
      <c r="J40" s="1"/>
    </row>
    <row r="41" spans="1:10" ht="17.25">
      <c r="A41" s="776">
        <v>37</v>
      </c>
      <c r="B41" s="1"/>
      <c r="C41" s="1"/>
      <c r="D41" s="750" t="s">
        <v>221</v>
      </c>
      <c r="E41" s="753">
        <f>E36+E38+E39</f>
        <v>0</v>
      </c>
      <c r="F41" s="108"/>
      <c r="G41" s="753">
        <f>G36+G38+G39</f>
        <v>0</v>
      </c>
      <c r="H41" s="753">
        <f t="shared" ref="H41:J41" si="1">H36+H38+H39</f>
        <v>0</v>
      </c>
      <c r="I41" s="753">
        <f t="shared" si="1"/>
        <v>0</v>
      </c>
      <c r="J41" s="753">
        <f t="shared" si="1"/>
        <v>0</v>
      </c>
    </row>
    <row r="42" spans="1:10" ht="15">
      <c r="A42" s="776">
        <v>38</v>
      </c>
      <c r="B42" s="1"/>
      <c r="C42" s="1"/>
      <c r="D42" s="1"/>
      <c r="E42" s="1"/>
      <c r="F42" s="1"/>
      <c r="G42" s="1"/>
      <c r="H42" s="1"/>
      <c r="I42" s="1"/>
      <c r="J42" s="1"/>
    </row>
    <row r="43" spans="1:10" ht="15">
      <c r="A43" s="776">
        <v>39</v>
      </c>
      <c r="B43" s="745" t="s">
        <v>222</v>
      </c>
      <c r="C43" s="752"/>
      <c r="D43" s="752"/>
      <c r="E43" s="108"/>
      <c r="F43" s="108"/>
      <c r="G43" s="108"/>
      <c r="H43" s="108"/>
      <c r="I43" s="108"/>
      <c r="J43" s="108"/>
    </row>
    <row r="44" spans="1:10" ht="15">
      <c r="A44" s="776">
        <v>40</v>
      </c>
      <c r="B44" s="26"/>
      <c r="C44" s="1" t="s">
        <v>223</v>
      </c>
      <c r="D44" s="752"/>
      <c r="E44" s="620">
        <v>0</v>
      </c>
      <c r="F44" s="108"/>
      <c r="G44" s="620">
        <v>0</v>
      </c>
      <c r="H44" s="620">
        <v>0</v>
      </c>
      <c r="I44" s="620">
        <v>0</v>
      </c>
      <c r="J44" s="620">
        <v>0</v>
      </c>
    </row>
    <row r="45" spans="1:10" ht="17.25">
      <c r="A45" s="776">
        <v>41</v>
      </c>
      <c r="B45" s="1"/>
      <c r="C45" s="1" t="s">
        <v>224</v>
      </c>
      <c r="D45" s="752"/>
      <c r="E45" s="628">
        <v>0</v>
      </c>
      <c r="F45" s="108"/>
      <c r="G45" s="628">
        <v>0</v>
      </c>
      <c r="H45" s="628">
        <v>0</v>
      </c>
      <c r="I45" s="628">
        <v>0</v>
      </c>
      <c r="J45" s="628">
        <v>0</v>
      </c>
    </row>
    <row r="46" spans="1:10" ht="17.25">
      <c r="A46" s="776">
        <v>42</v>
      </c>
      <c r="B46" s="1"/>
      <c r="C46" s="4"/>
      <c r="D46" s="750" t="s">
        <v>225</v>
      </c>
      <c r="E46" s="753">
        <f>SUM(E44:E45)</f>
        <v>0</v>
      </c>
      <c r="F46" s="108"/>
      <c r="G46" s="753">
        <f>SUM(G44:G45)</f>
        <v>0</v>
      </c>
      <c r="H46" s="753">
        <f>SUM(H44:H45)</f>
        <v>0</v>
      </c>
      <c r="I46" s="753">
        <f>SUM(I44:I45)</f>
        <v>0</v>
      </c>
      <c r="J46" s="753">
        <f>SUM(J44:J45)</f>
        <v>0</v>
      </c>
    </row>
    <row r="47" spans="1:10" ht="15">
      <c r="A47" s="776">
        <v>43</v>
      </c>
      <c r="B47" s="1"/>
      <c r="C47" s="1"/>
      <c r="D47" s="1"/>
      <c r="E47" s="1"/>
      <c r="F47" s="1"/>
      <c r="G47" s="1"/>
      <c r="H47" s="1"/>
      <c r="I47" s="1"/>
      <c r="J47" s="1"/>
    </row>
    <row r="48" spans="1:10" ht="15.75" thickBot="1">
      <c r="A48" s="776">
        <v>44</v>
      </c>
      <c r="B48" s="1"/>
      <c r="C48" s="4"/>
      <c r="D48" s="750" t="s">
        <v>226</v>
      </c>
      <c r="E48" s="754">
        <f>E41+E46</f>
        <v>0</v>
      </c>
      <c r="F48" s="108"/>
      <c r="G48" s="754">
        <f>G41+G46</f>
        <v>0</v>
      </c>
      <c r="H48" s="754">
        <f t="shared" ref="H48:J48" si="2">H41+H46</f>
        <v>0</v>
      </c>
      <c r="I48" s="754">
        <f t="shared" si="2"/>
        <v>0</v>
      </c>
      <c r="J48" s="754">
        <f t="shared" si="2"/>
        <v>0</v>
      </c>
    </row>
    <row r="49" spans="1:10" ht="15.75" thickTop="1">
      <c r="A49" s="776">
        <v>45</v>
      </c>
      <c r="B49" s="1"/>
      <c r="C49" s="4"/>
      <c r="D49" s="752"/>
      <c r="E49" s="108"/>
      <c r="F49" s="108"/>
      <c r="G49" s="108"/>
      <c r="H49" s="108"/>
      <c r="I49" s="108"/>
      <c r="J49" s="108"/>
    </row>
    <row r="50" spans="1:10">
      <c r="E50" s="778" t="str">
        <f>IF(COUNTIF(E11:E48,"&gt;0")=0,"",IF(E24=E48,"Balanced","Not Balanced"))</f>
        <v/>
      </c>
      <c r="G50" s="778" t="str">
        <f>IF(COUNTIF(G11:G48,"&gt;0")=0,"",IF(G24=G48,"Balanced","Not Balanced"))</f>
        <v/>
      </c>
      <c r="H50" s="778" t="str">
        <f>IF(COUNTIF(H11:H48,"&gt;0")=0,"",IF(H24=H48,"Balanced","Not Balanced"))</f>
        <v/>
      </c>
      <c r="I50" s="778" t="str">
        <f>IF(COUNTIF(I11:I48,"&gt;0")=0,"",IF(I24=I48,"Balanced","Not Balanced"))</f>
        <v/>
      </c>
      <c r="J50" s="778" t="str">
        <f>IF(COUNTIF(J11:J48,"&gt;0")=0,"",IF(J24=J48,"Balanced","Not Balanced"))</f>
        <v/>
      </c>
    </row>
  </sheetData>
  <sheetProtection algorithmName="SHA-512" hashValue="hYZoIB0CB9GG5p4GZOv/Ne4DBzHTlxzpylU0FmJw2HXIYdegNSKUnx1Eynv2rg1LeY4968r9Z3yaxBjrQUcwLA==" saltValue="dmAbnt7KwkYIklFqxf+VDQ==" spinCount="100000" sheet="1" objects="1" scenarios="1"/>
  <mergeCells count="4">
    <mergeCell ref="B2:J2"/>
    <mergeCell ref="B4:J4"/>
    <mergeCell ref="B26:D26"/>
    <mergeCell ref="B8:D8"/>
  </mergeCells>
  <conditionalFormatting sqref="B2:J2">
    <cfRule type="expression" dxfId="51" priority="4">
      <formula>$B$2=Mssg1</formula>
    </cfRule>
  </conditionalFormatting>
  <conditionalFormatting sqref="B4:J4">
    <cfRule type="expression" dxfId="50" priority="3">
      <formula>$B$4=Mssg2</formula>
    </cfRule>
  </conditionalFormatting>
  <conditionalFormatting sqref="E50 G50:J50">
    <cfRule type="cellIs" dxfId="49" priority="1" operator="equal">
      <formula>"Not Balanced"</formula>
    </cfRule>
  </conditionalFormatting>
  <conditionalFormatting sqref="E11:J48">
    <cfRule type="expression" dxfId="48" priority="2">
      <formula>BSNoteCode=2</formula>
    </cfRule>
  </conditionalFormatting>
  <dataValidations count="3">
    <dataValidation type="custom" showInputMessage="1" showErrorMessage="1" sqref="E12:E48 F11:F48 G12:J48" xr:uid="{00000000-0002-0000-0600-000000000000}">
      <formula1>OR(BSNoteCode=0,BSNoteCode=1)</formula1>
    </dataValidation>
    <dataValidation type="custom" showInputMessage="1" showErrorMessage="1" errorTitle="Merged School" error="Balance Sheet should not be completed for schools that have merged into an EdCorp. The balance sheet information is included with the EdCorp Balance Sheet." sqref="G11:J11" xr:uid="{00000000-0002-0000-0600-000001000000}">
      <formula1>OR(BSNoteCode=0,BSNoteCode=1)</formula1>
    </dataValidation>
    <dataValidation type="custom" showInputMessage="1" showErrorMessage="1" errorTitle="Balance Sheet Data - EdCorp Only" error="Balance data should not be entered for &quot;Merged Schools&quot; as it is included on the EdCorp's template." sqref="E11" xr:uid="{00000000-0002-0000-0600-000002000000}">
      <formula1>OR(BSNoteCode=0,BSNoteCode=1)</formula1>
    </dataValidation>
  </dataValidations>
  <printOptions horizontalCentered="1"/>
  <pageMargins left="0.49" right="0.45" top="0.54" bottom="0.73" header="0.3" footer="0.32"/>
  <pageSetup scale="79" orientation="landscape" r:id="rId1"/>
  <headerFooter>
    <oddFooter>&amp;CPage &amp;P of &amp;N&amp;R&amp;F</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3366"/>
  </sheetPr>
  <dimension ref="A1:AM184"/>
  <sheetViews>
    <sheetView showGridLines="0" topLeftCell="B2" zoomScale="70" zoomScaleNormal="70" zoomScaleSheetLayoutView="90" workbookViewId="0">
      <pane xSplit="6" ySplit="12" topLeftCell="H14" activePane="bottomRight" state="frozen"/>
      <selection activeCell="B2" sqref="B2"/>
      <selection pane="topRight" activeCell="H2" sqref="H2"/>
      <selection pane="bottomLeft" activeCell="B14" sqref="B14"/>
      <selection pane="bottomRight" activeCell="J39" sqref="J39"/>
    </sheetView>
  </sheetViews>
  <sheetFormatPr defaultRowHeight="15"/>
  <cols>
    <col min="1" max="1" width="6.85546875" style="221" hidden="1" customWidth="1"/>
    <col min="2" max="4" width="2.28515625" style="41" customWidth="1"/>
    <col min="5" max="5" width="56" style="1" bestFit="1" customWidth="1"/>
    <col min="6" max="6" width="3.5703125" style="1" customWidth="1"/>
    <col min="7" max="7" width="16.7109375" style="49" bestFit="1" customWidth="1"/>
    <col min="8" max="8" width="2.7109375" style="39" customWidth="1"/>
    <col min="9" max="21" width="13" style="39" customWidth="1"/>
    <col min="22" max="28" width="13" style="278" customWidth="1"/>
    <col min="29" max="29" width="13" style="41" customWidth="1"/>
    <col min="30" max="30" width="18.7109375" style="41" customWidth="1"/>
    <col min="31" max="31" width="13" style="41" customWidth="1"/>
    <col min="32" max="32" width="40.5703125" style="41" customWidth="1"/>
    <col min="33" max="38" width="9.140625" style="41"/>
    <col min="39" max="39" width="11.7109375" style="41" hidden="1" customWidth="1"/>
    <col min="40" max="256" width="9.140625" style="41"/>
    <col min="257" max="257" width="3.5703125" style="41" bestFit="1" customWidth="1"/>
    <col min="258" max="260" width="2.28515625" style="41" customWidth="1"/>
    <col min="261" max="261" width="56" style="41" bestFit="1" customWidth="1"/>
    <col min="262" max="262" width="2.7109375" style="41" customWidth="1"/>
    <col min="263" max="263" width="16.7109375" style="41" bestFit="1" customWidth="1"/>
    <col min="264" max="264" width="2.7109375" style="41" customWidth="1"/>
    <col min="265" max="265" width="12.7109375" style="41" customWidth="1"/>
    <col min="266" max="266" width="12.5703125" style="41" customWidth="1"/>
    <col min="267" max="267" width="12.28515625" style="41" customWidth="1"/>
    <col min="268" max="268" width="11.7109375" style="41" customWidth="1"/>
    <col min="269" max="269" width="12.140625" style="41" customWidth="1"/>
    <col min="270" max="270" width="12.28515625" style="41" customWidth="1"/>
    <col min="271" max="271" width="11.7109375" style="41" customWidth="1"/>
    <col min="272" max="272" width="12" style="41" customWidth="1"/>
    <col min="273" max="273" width="12.140625" style="41" customWidth="1"/>
    <col min="274" max="274" width="11.7109375" style="41" customWidth="1"/>
    <col min="275" max="275" width="12" style="41" customWidth="1"/>
    <col min="276" max="276" width="12.28515625" style="41" customWidth="1"/>
    <col min="277" max="277" width="12.85546875" style="41" customWidth="1"/>
    <col min="278" max="278" width="17.140625" style="41" customWidth="1"/>
    <col min="279" max="280" width="13.28515625" style="41" customWidth="1"/>
    <col min="281" max="281" width="13.85546875" style="41" customWidth="1"/>
    <col min="282" max="282" width="16.85546875" style="41" customWidth="1"/>
    <col min="283" max="283" width="13.28515625" style="41" customWidth="1"/>
    <col min="284" max="284" width="13.42578125" style="41" customWidth="1"/>
    <col min="285" max="285" width="14.5703125" style="41" customWidth="1"/>
    <col min="286" max="286" width="14.7109375" style="41" customWidth="1"/>
    <col min="287" max="287" width="13.7109375" style="41" customWidth="1"/>
    <col min="288" max="288" width="51.28515625" style="41" customWidth="1"/>
    <col min="289" max="294" width="9.140625" style="41"/>
    <col min="295" max="295" width="0" style="41" hidden="1" customWidth="1"/>
    <col min="296" max="512" width="9.140625" style="41"/>
    <col min="513" max="513" width="3.5703125" style="41" bestFit="1" customWidth="1"/>
    <col min="514" max="516" width="2.28515625" style="41" customWidth="1"/>
    <col min="517" max="517" width="56" style="41" bestFit="1" customWidth="1"/>
    <col min="518" max="518" width="2.7109375" style="41" customWidth="1"/>
    <col min="519" max="519" width="16.7109375" style="41" bestFit="1" customWidth="1"/>
    <col min="520" max="520" width="2.7109375" style="41" customWidth="1"/>
    <col min="521" max="521" width="12.7109375" style="41" customWidth="1"/>
    <col min="522" max="522" width="12.5703125" style="41" customWidth="1"/>
    <col min="523" max="523" width="12.28515625" style="41" customWidth="1"/>
    <col min="524" max="524" width="11.7109375" style="41" customWidth="1"/>
    <col min="525" max="525" width="12.140625" style="41" customWidth="1"/>
    <col min="526" max="526" width="12.28515625" style="41" customWidth="1"/>
    <col min="527" max="527" width="11.7109375" style="41" customWidth="1"/>
    <col min="528" max="528" width="12" style="41" customWidth="1"/>
    <col min="529" max="529" width="12.140625" style="41" customWidth="1"/>
    <col min="530" max="530" width="11.7109375" style="41" customWidth="1"/>
    <col min="531" max="531" width="12" style="41" customWidth="1"/>
    <col min="532" max="532" width="12.28515625" style="41" customWidth="1"/>
    <col min="533" max="533" width="12.85546875" style="41" customWidth="1"/>
    <col min="534" max="534" width="17.140625" style="41" customWidth="1"/>
    <col min="535" max="536" width="13.28515625" style="41" customWidth="1"/>
    <col min="537" max="537" width="13.85546875" style="41" customWidth="1"/>
    <col min="538" max="538" width="16.85546875" style="41" customWidth="1"/>
    <col min="539" max="539" width="13.28515625" style="41" customWidth="1"/>
    <col min="540" max="540" width="13.42578125" style="41" customWidth="1"/>
    <col min="541" max="541" width="14.5703125" style="41" customWidth="1"/>
    <col min="542" max="542" width="14.7109375" style="41" customWidth="1"/>
    <col min="543" max="543" width="13.7109375" style="41" customWidth="1"/>
    <col min="544" max="544" width="51.28515625" style="41" customWidth="1"/>
    <col min="545" max="550" width="9.140625" style="41"/>
    <col min="551" max="551" width="0" style="41" hidden="1" customWidth="1"/>
    <col min="552" max="768" width="9.140625" style="41"/>
    <col min="769" max="769" width="3.5703125" style="41" bestFit="1" customWidth="1"/>
    <col min="770" max="772" width="2.28515625" style="41" customWidth="1"/>
    <col min="773" max="773" width="56" style="41" bestFit="1" customWidth="1"/>
    <col min="774" max="774" width="2.7109375" style="41" customWidth="1"/>
    <col min="775" max="775" width="16.7109375" style="41" bestFit="1" customWidth="1"/>
    <col min="776" max="776" width="2.7109375" style="41" customWidth="1"/>
    <col min="777" max="777" width="12.7109375" style="41" customWidth="1"/>
    <col min="778" max="778" width="12.5703125" style="41" customWidth="1"/>
    <col min="779" max="779" width="12.28515625" style="41" customWidth="1"/>
    <col min="780" max="780" width="11.7109375" style="41" customWidth="1"/>
    <col min="781" max="781" width="12.140625" style="41" customWidth="1"/>
    <col min="782" max="782" width="12.28515625" style="41" customWidth="1"/>
    <col min="783" max="783" width="11.7109375" style="41" customWidth="1"/>
    <col min="784" max="784" width="12" style="41" customWidth="1"/>
    <col min="785" max="785" width="12.140625" style="41" customWidth="1"/>
    <col min="786" max="786" width="11.7109375" style="41" customWidth="1"/>
    <col min="787" max="787" width="12" style="41" customWidth="1"/>
    <col min="788" max="788" width="12.28515625" style="41" customWidth="1"/>
    <col min="789" max="789" width="12.85546875" style="41" customWidth="1"/>
    <col min="790" max="790" width="17.140625" style="41" customWidth="1"/>
    <col min="791" max="792" width="13.28515625" style="41" customWidth="1"/>
    <col min="793" max="793" width="13.85546875" style="41" customWidth="1"/>
    <col min="794" max="794" width="16.85546875" style="41" customWidth="1"/>
    <col min="795" max="795" width="13.28515625" style="41" customWidth="1"/>
    <col min="796" max="796" width="13.42578125" style="41" customWidth="1"/>
    <col min="797" max="797" width="14.5703125" style="41" customWidth="1"/>
    <col min="798" max="798" width="14.7109375" style="41" customWidth="1"/>
    <col min="799" max="799" width="13.7109375" style="41" customWidth="1"/>
    <col min="800" max="800" width="51.28515625" style="41" customWidth="1"/>
    <col min="801" max="806" width="9.140625" style="41"/>
    <col min="807" max="807" width="0" style="41" hidden="1" customWidth="1"/>
    <col min="808" max="1024" width="9.140625" style="41"/>
    <col min="1025" max="1025" width="3.5703125" style="41" bestFit="1" customWidth="1"/>
    <col min="1026" max="1028" width="2.28515625" style="41" customWidth="1"/>
    <col min="1029" max="1029" width="56" style="41" bestFit="1" customWidth="1"/>
    <col min="1030" max="1030" width="2.7109375" style="41" customWidth="1"/>
    <col min="1031" max="1031" width="16.7109375" style="41" bestFit="1" customWidth="1"/>
    <col min="1032" max="1032" width="2.7109375" style="41" customWidth="1"/>
    <col min="1033" max="1033" width="12.7109375" style="41" customWidth="1"/>
    <col min="1034" max="1034" width="12.5703125" style="41" customWidth="1"/>
    <col min="1035" max="1035" width="12.28515625" style="41" customWidth="1"/>
    <col min="1036" max="1036" width="11.7109375" style="41" customWidth="1"/>
    <col min="1037" max="1037" width="12.140625" style="41" customWidth="1"/>
    <col min="1038" max="1038" width="12.28515625" style="41" customWidth="1"/>
    <col min="1039" max="1039" width="11.7109375" style="41" customWidth="1"/>
    <col min="1040" max="1040" width="12" style="41" customWidth="1"/>
    <col min="1041" max="1041" width="12.140625" style="41" customWidth="1"/>
    <col min="1042" max="1042" width="11.7109375" style="41" customWidth="1"/>
    <col min="1043" max="1043" width="12" style="41" customWidth="1"/>
    <col min="1044" max="1044" width="12.28515625" style="41" customWidth="1"/>
    <col min="1045" max="1045" width="12.85546875" style="41" customWidth="1"/>
    <col min="1046" max="1046" width="17.140625" style="41" customWidth="1"/>
    <col min="1047" max="1048" width="13.28515625" style="41" customWidth="1"/>
    <col min="1049" max="1049" width="13.85546875" style="41" customWidth="1"/>
    <col min="1050" max="1050" width="16.85546875" style="41" customWidth="1"/>
    <col min="1051" max="1051" width="13.28515625" style="41" customWidth="1"/>
    <col min="1052" max="1052" width="13.42578125" style="41" customWidth="1"/>
    <col min="1053" max="1053" width="14.5703125" style="41" customWidth="1"/>
    <col min="1054" max="1054" width="14.7109375" style="41" customWidth="1"/>
    <col min="1055" max="1055" width="13.7109375" style="41" customWidth="1"/>
    <col min="1056" max="1056" width="51.28515625" style="41" customWidth="1"/>
    <col min="1057" max="1062" width="9.140625" style="41"/>
    <col min="1063" max="1063" width="0" style="41" hidden="1" customWidth="1"/>
    <col min="1064" max="1280" width="9.140625" style="41"/>
    <col min="1281" max="1281" width="3.5703125" style="41" bestFit="1" customWidth="1"/>
    <col min="1282" max="1284" width="2.28515625" style="41" customWidth="1"/>
    <col min="1285" max="1285" width="56" style="41" bestFit="1" customWidth="1"/>
    <col min="1286" max="1286" width="2.7109375" style="41" customWidth="1"/>
    <col min="1287" max="1287" width="16.7109375" style="41" bestFit="1" customWidth="1"/>
    <col min="1288" max="1288" width="2.7109375" style="41" customWidth="1"/>
    <col min="1289" max="1289" width="12.7109375" style="41" customWidth="1"/>
    <col min="1290" max="1290" width="12.5703125" style="41" customWidth="1"/>
    <col min="1291" max="1291" width="12.28515625" style="41" customWidth="1"/>
    <col min="1292" max="1292" width="11.7109375" style="41" customWidth="1"/>
    <col min="1293" max="1293" width="12.140625" style="41" customWidth="1"/>
    <col min="1294" max="1294" width="12.28515625" style="41" customWidth="1"/>
    <col min="1295" max="1295" width="11.7109375" style="41" customWidth="1"/>
    <col min="1296" max="1296" width="12" style="41" customWidth="1"/>
    <col min="1297" max="1297" width="12.140625" style="41" customWidth="1"/>
    <col min="1298" max="1298" width="11.7109375" style="41" customWidth="1"/>
    <col min="1299" max="1299" width="12" style="41" customWidth="1"/>
    <col min="1300" max="1300" width="12.28515625" style="41" customWidth="1"/>
    <col min="1301" max="1301" width="12.85546875" style="41" customWidth="1"/>
    <col min="1302" max="1302" width="17.140625" style="41" customWidth="1"/>
    <col min="1303" max="1304" width="13.28515625" style="41" customWidth="1"/>
    <col min="1305" max="1305" width="13.85546875" style="41" customWidth="1"/>
    <col min="1306" max="1306" width="16.85546875" style="41" customWidth="1"/>
    <col min="1307" max="1307" width="13.28515625" style="41" customWidth="1"/>
    <col min="1308" max="1308" width="13.42578125" style="41" customWidth="1"/>
    <col min="1309" max="1309" width="14.5703125" style="41" customWidth="1"/>
    <col min="1310" max="1310" width="14.7109375" style="41" customWidth="1"/>
    <col min="1311" max="1311" width="13.7109375" style="41" customWidth="1"/>
    <col min="1312" max="1312" width="51.28515625" style="41" customWidth="1"/>
    <col min="1313" max="1318" width="9.140625" style="41"/>
    <col min="1319" max="1319" width="0" style="41" hidden="1" customWidth="1"/>
    <col min="1320" max="1536" width="9.140625" style="41"/>
    <col min="1537" max="1537" width="3.5703125" style="41" bestFit="1" customWidth="1"/>
    <col min="1538" max="1540" width="2.28515625" style="41" customWidth="1"/>
    <col min="1541" max="1541" width="56" style="41" bestFit="1" customWidth="1"/>
    <col min="1542" max="1542" width="2.7109375" style="41" customWidth="1"/>
    <col min="1543" max="1543" width="16.7109375" style="41" bestFit="1" customWidth="1"/>
    <col min="1544" max="1544" width="2.7109375" style="41" customWidth="1"/>
    <col min="1545" max="1545" width="12.7109375" style="41" customWidth="1"/>
    <col min="1546" max="1546" width="12.5703125" style="41" customWidth="1"/>
    <col min="1547" max="1547" width="12.28515625" style="41" customWidth="1"/>
    <col min="1548" max="1548" width="11.7109375" style="41" customWidth="1"/>
    <col min="1549" max="1549" width="12.140625" style="41" customWidth="1"/>
    <col min="1550" max="1550" width="12.28515625" style="41" customWidth="1"/>
    <col min="1551" max="1551" width="11.7109375" style="41" customWidth="1"/>
    <col min="1552" max="1552" width="12" style="41" customWidth="1"/>
    <col min="1553" max="1553" width="12.140625" style="41" customWidth="1"/>
    <col min="1554" max="1554" width="11.7109375" style="41" customWidth="1"/>
    <col min="1555" max="1555" width="12" style="41" customWidth="1"/>
    <col min="1556" max="1556" width="12.28515625" style="41" customWidth="1"/>
    <col min="1557" max="1557" width="12.85546875" style="41" customWidth="1"/>
    <col min="1558" max="1558" width="17.140625" style="41" customWidth="1"/>
    <col min="1559" max="1560" width="13.28515625" style="41" customWidth="1"/>
    <col min="1561" max="1561" width="13.85546875" style="41" customWidth="1"/>
    <col min="1562" max="1562" width="16.85546875" style="41" customWidth="1"/>
    <col min="1563" max="1563" width="13.28515625" style="41" customWidth="1"/>
    <col min="1564" max="1564" width="13.42578125" style="41" customWidth="1"/>
    <col min="1565" max="1565" width="14.5703125" style="41" customWidth="1"/>
    <col min="1566" max="1566" width="14.7109375" style="41" customWidth="1"/>
    <col min="1567" max="1567" width="13.7109375" style="41" customWidth="1"/>
    <col min="1568" max="1568" width="51.28515625" style="41" customWidth="1"/>
    <col min="1569" max="1574" width="9.140625" style="41"/>
    <col min="1575" max="1575" width="0" style="41" hidden="1" customWidth="1"/>
    <col min="1576" max="1792" width="9.140625" style="41"/>
    <col min="1793" max="1793" width="3.5703125" style="41" bestFit="1" customWidth="1"/>
    <col min="1794" max="1796" width="2.28515625" style="41" customWidth="1"/>
    <col min="1797" max="1797" width="56" style="41" bestFit="1" customWidth="1"/>
    <col min="1798" max="1798" width="2.7109375" style="41" customWidth="1"/>
    <col min="1799" max="1799" width="16.7109375" style="41" bestFit="1" customWidth="1"/>
    <col min="1800" max="1800" width="2.7109375" style="41" customWidth="1"/>
    <col min="1801" max="1801" width="12.7109375" style="41" customWidth="1"/>
    <col min="1802" max="1802" width="12.5703125" style="41" customWidth="1"/>
    <col min="1803" max="1803" width="12.28515625" style="41" customWidth="1"/>
    <col min="1804" max="1804" width="11.7109375" style="41" customWidth="1"/>
    <col min="1805" max="1805" width="12.140625" style="41" customWidth="1"/>
    <col min="1806" max="1806" width="12.28515625" style="41" customWidth="1"/>
    <col min="1807" max="1807" width="11.7109375" style="41" customWidth="1"/>
    <col min="1808" max="1808" width="12" style="41" customWidth="1"/>
    <col min="1809" max="1809" width="12.140625" style="41" customWidth="1"/>
    <col min="1810" max="1810" width="11.7109375" style="41" customWidth="1"/>
    <col min="1811" max="1811" width="12" style="41" customWidth="1"/>
    <col min="1812" max="1812" width="12.28515625" style="41" customWidth="1"/>
    <col min="1813" max="1813" width="12.85546875" style="41" customWidth="1"/>
    <col min="1814" max="1814" width="17.140625" style="41" customWidth="1"/>
    <col min="1815" max="1816" width="13.28515625" style="41" customWidth="1"/>
    <col min="1817" max="1817" width="13.85546875" style="41" customWidth="1"/>
    <col min="1818" max="1818" width="16.85546875" style="41" customWidth="1"/>
    <col min="1819" max="1819" width="13.28515625" style="41" customWidth="1"/>
    <col min="1820" max="1820" width="13.42578125" style="41" customWidth="1"/>
    <col min="1821" max="1821" width="14.5703125" style="41" customWidth="1"/>
    <col min="1822" max="1822" width="14.7109375" style="41" customWidth="1"/>
    <col min="1823" max="1823" width="13.7109375" style="41" customWidth="1"/>
    <col min="1824" max="1824" width="51.28515625" style="41" customWidth="1"/>
    <col min="1825" max="1830" width="9.140625" style="41"/>
    <col min="1831" max="1831" width="0" style="41" hidden="1" customWidth="1"/>
    <col min="1832" max="2048" width="9.140625" style="41"/>
    <col min="2049" max="2049" width="3.5703125" style="41" bestFit="1" customWidth="1"/>
    <col min="2050" max="2052" width="2.28515625" style="41" customWidth="1"/>
    <col min="2053" max="2053" width="56" style="41" bestFit="1" customWidth="1"/>
    <col min="2054" max="2054" width="2.7109375" style="41" customWidth="1"/>
    <col min="2055" max="2055" width="16.7109375" style="41" bestFit="1" customWidth="1"/>
    <col min="2056" max="2056" width="2.7109375" style="41" customWidth="1"/>
    <col min="2057" max="2057" width="12.7109375" style="41" customWidth="1"/>
    <col min="2058" max="2058" width="12.5703125" style="41" customWidth="1"/>
    <col min="2059" max="2059" width="12.28515625" style="41" customWidth="1"/>
    <col min="2060" max="2060" width="11.7109375" style="41" customWidth="1"/>
    <col min="2061" max="2061" width="12.140625" style="41" customWidth="1"/>
    <col min="2062" max="2062" width="12.28515625" style="41" customWidth="1"/>
    <col min="2063" max="2063" width="11.7109375" style="41" customWidth="1"/>
    <col min="2064" max="2064" width="12" style="41" customWidth="1"/>
    <col min="2065" max="2065" width="12.140625" style="41" customWidth="1"/>
    <col min="2066" max="2066" width="11.7109375" style="41" customWidth="1"/>
    <col min="2067" max="2067" width="12" style="41" customWidth="1"/>
    <col min="2068" max="2068" width="12.28515625" style="41" customWidth="1"/>
    <col min="2069" max="2069" width="12.85546875" style="41" customWidth="1"/>
    <col min="2070" max="2070" width="17.140625" style="41" customWidth="1"/>
    <col min="2071" max="2072" width="13.28515625" style="41" customWidth="1"/>
    <col min="2073" max="2073" width="13.85546875" style="41" customWidth="1"/>
    <col min="2074" max="2074" width="16.85546875" style="41" customWidth="1"/>
    <col min="2075" max="2075" width="13.28515625" style="41" customWidth="1"/>
    <col min="2076" max="2076" width="13.42578125" style="41" customWidth="1"/>
    <col min="2077" max="2077" width="14.5703125" style="41" customWidth="1"/>
    <col min="2078" max="2078" width="14.7109375" style="41" customWidth="1"/>
    <col min="2079" max="2079" width="13.7109375" style="41" customWidth="1"/>
    <col min="2080" max="2080" width="51.28515625" style="41" customWidth="1"/>
    <col min="2081" max="2086" width="9.140625" style="41"/>
    <col min="2087" max="2087" width="0" style="41" hidden="1" customWidth="1"/>
    <col min="2088" max="2304" width="9.140625" style="41"/>
    <col min="2305" max="2305" width="3.5703125" style="41" bestFit="1" customWidth="1"/>
    <col min="2306" max="2308" width="2.28515625" style="41" customWidth="1"/>
    <col min="2309" max="2309" width="56" style="41" bestFit="1" customWidth="1"/>
    <col min="2310" max="2310" width="2.7109375" style="41" customWidth="1"/>
    <col min="2311" max="2311" width="16.7109375" style="41" bestFit="1" customWidth="1"/>
    <col min="2312" max="2312" width="2.7109375" style="41" customWidth="1"/>
    <col min="2313" max="2313" width="12.7109375" style="41" customWidth="1"/>
    <col min="2314" max="2314" width="12.5703125" style="41" customWidth="1"/>
    <col min="2315" max="2315" width="12.28515625" style="41" customWidth="1"/>
    <col min="2316" max="2316" width="11.7109375" style="41" customWidth="1"/>
    <col min="2317" max="2317" width="12.140625" style="41" customWidth="1"/>
    <col min="2318" max="2318" width="12.28515625" style="41" customWidth="1"/>
    <col min="2319" max="2319" width="11.7109375" style="41" customWidth="1"/>
    <col min="2320" max="2320" width="12" style="41" customWidth="1"/>
    <col min="2321" max="2321" width="12.140625" style="41" customWidth="1"/>
    <col min="2322" max="2322" width="11.7109375" style="41" customWidth="1"/>
    <col min="2323" max="2323" width="12" style="41" customWidth="1"/>
    <col min="2324" max="2324" width="12.28515625" style="41" customWidth="1"/>
    <col min="2325" max="2325" width="12.85546875" style="41" customWidth="1"/>
    <col min="2326" max="2326" width="17.140625" style="41" customWidth="1"/>
    <col min="2327" max="2328" width="13.28515625" style="41" customWidth="1"/>
    <col min="2329" max="2329" width="13.85546875" style="41" customWidth="1"/>
    <col min="2330" max="2330" width="16.85546875" style="41" customWidth="1"/>
    <col min="2331" max="2331" width="13.28515625" style="41" customWidth="1"/>
    <col min="2332" max="2332" width="13.42578125" style="41" customWidth="1"/>
    <col min="2333" max="2333" width="14.5703125" style="41" customWidth="1"/>
    <col min="2334" max="2334" width="14.7109375" style="41" customWidth="1"/>
    <col min="2335" max="2335" width="13.7109375" style="41" customWidth="1"/>
    <col min="2336" max="2336" width="51.28515625" style="41" customWidth="1"/>
    <col min="2337" max="2342" width="9.140625" style="41"/>
    <col min="2343" max="2343" width="0" style="41" hidden="1" customWidth="1"/>
    <col min="2344" max="2560" width="9.140625" style="41"/>
    <col min="2561" max="2561" width="3.5703125" style="41" bestFit="1" customWidth="1"/>
    <col min="2562" max="2564" width="2.28515625" style="41" customWidth="1"/>
    <col min="2565" max="2565" width="56" style="41" bestFit="1" customWidth="1"/>
    <col min="2566" max="2566" width="2.7109375" style="41" customWidth="1"/>
    <col min="2567" max="2567" width="16.7109375" style="41" bestFit="1" customWidth="1"/>
    <col min="2568" max="2568" width="2.7109375" style="41" customWidth="1"/>
    <col min="2569" max="2569" width="12.7109375" style="41" customWidth="1"/>
    <col min="2570" max="2570" width="12.5703125" style="41" customWidth="1"/>
    <col min="2571" max="2571" width="12.28515625" style="41" customWidth="1"/>
    <col min="2572" max="2572" width="11.7109375" style="41" customWidth="1"/>
    <col min="2573" max="2573" width="12.140625" style="41" customWidth="1"/>
    <col min="2574" max="2574" width="12.28515625" style="41" customWidth="1"/>
    <col min="2575" max="2575" width="11.7109375" style="41" customWidth="1"/>
    <col min="2576" max="2576" width="12" style="41" customWidth="1"/>
    <col min="2577" max="2577" width="12.140625" style="41" customWidth="1"/>
    <col min="2578" max="2578" width="11.7109375" style="41" customWidth="1"/>
    <col min="2579" max="2579" width="12" style="41" customWidth="1"/>
    <col min="2580" max="2580" width="12.28515625" style="41" customWidth="1"/>
    <col min="2581" max="2581" width="12.85546875" style="41" customWidth="1"/>
    <col min="2582" max="2582" width="17.140625" style="41" customWidth="1"/>
    <col min="2583" max="2584" width="13.28515625" style="41" customWidth="1"/>
    <col min="2585" max="2585" width="13.85546875" style="41" customWidth="1"/>
    <col min="2586" max="2586" width="16.85546875" style="41" customWidth="1"/>
    <col min="2587" max="2587" width="13.28515625" style="41" customWidth="1"/>
    <col min="2588" max="2588" width="13.42578125" style="41" customWidth="1"/>
    <col min="2589" max="2589" width="14.5703125" style="41" customWidth="1"/>
    <col min="2590" max="2590" width="14.7109375" style="41" customWidth="1"/>
    <col min="2591" max="2591" width="13.7109375" style="41" customWidth="1"/>
    <col min="2592" max="2592" width="51.28515625" style="41" customWidth="1"/>
    <col min="2593" max="2598" width="9.140625" style="41"/>
    <col min="2599" max="2599" width="0" style="41" hidden="1" customWidth="1"/>
    <col min="2600" max="2816" width="9.140625" style="41"/>
    <col min="2817" max="2817" width="3.5703125" style="41" bestFit="1" customWidth="1"/>
    <col min="2818" max="2820" width="2.28515625" style="41" customWidth="1"/>
    <col min="2821" max="2821" width="56" style="41" bestFit="1" customWidth="1"/>
    <col min="2822" max="2822" width="2.7109375" style="41" customWidth="1"/>
    <col min="2823" max="2823" width="16.7109375" style="41" bestFit="1" customWidth="1"/>
    <col min="2824" max="2824" width="2.7109375" style="41" customWidth="1"/>
    <col min="2825" max="2825" width="12.7109375" style="41" customWidth="1"/>
    <col min="2826" max="2826" width="12.5703125" style="41" customWidth="1"/>
    <col min="2827" max="2827" width="12.28515625" style="41" customWidth="1"/>
    <col min="2828" max="2828" width="11.7109375" style="41" customWidth="1"/>
    <col min="2829" max="2829" width="12.140625" style="41" customWidth="1"/>
    <col min="2830" max="2830" width="12.28515625" style="41" customWidth="1"/>
    <col min="2831" max="2831" width="11.7109375" style="41" customWidth="1"/>
    <col min="2832" max="2832" width="12" style="41" customWidth="1"/>
    <col min="2833" max="2833" width="12.140625" style="41" customWidth="1"/>
    <col min="2834" max="2834" width="11.7109375" style="41" customWidth="1"/>
    <col min="2835" max="2835" width="12" style="41" customWidth="1"/>
    <col min="2836" max="2836" width="12.28515625" style="41" customWidth="1"/>
    <col min="2837" max="2837" width="12.85546875" style="41" customWidth="1"/>
    <col min="2838" max="2838" width="17.140625" style="41" customWidth="1"/>
    <col min="2839" max="2840" width="13.28515625" style="41" customWidth="1"/>
    <col min="2841" max="2841" width="13.85546875" style="41" customWidth="1"/>
    <col min="2842" max="2842" width="16.85546875" style="41" customWidth="1"/>
    <col min="2843" max="2843" width="13.28515625" style="41" customWidth="1"/>
    <col min="2844" max="2844" width="13.42578125" style="41" customWidth="1"/>
    <col min="2845" max="2845" width="14.5703125" style="41" customWidth="1"/>
    <col min="2846" max="2846" width="14.7109375" style="41" customWidth="1"/>
    <col min="2847" max="2847" width="13.7109375" style="41" customWidth="1"/>
    <col min="2848" max="2848" width="51.28515625" style="41" customWidth="1"/>
    <col min="2849" max="2854" width="9.140625" style="41"/>
    <col min="2855" max="2855" width="0" style="41" hidden="1" customWidth="1"/>
    <col min="2856" max="3072" width="9.140625" style="41"/>
    <col min="3073" max="3073" width="3.5703125" style="41" bestFit="1" customWidth="1"/>
    <col min="3074" max="3076" width="2.28515625" style="41" customWidth="1"/>
    <col min="3077" max="3077" width="56" style="41" bestFit="1" customWidth="1"/>
    <col min="3078" max="3078" width="2.7109375" style="41" customWidth="1"/>
    <col min="3079" max="3079" width="16.7109375" style="41" bestFit="1" customWidth="1"/>
    <col min="3080" max="3080" width="2.7109375" style="41" customWidth="1"/>
    <col min="3081" max="3081" width="12.7109375" style="41" customWidth="1"/>
    <col min="3082" max="3082" width="12.5703125" style="41" customWidth="1"/>
    <col min="3083" max="3083" width="12.28515625" style="41" customWidth="1"/>
    <col min="3084" max="3084" width="11.7109375" style="41" customWidth="1"/>
    <col min="3085" max="3085" width="12.140625" style="41" customWidth="1"/>
    <col min="3086" max="3086" width="12.28515625" style="41" customWidth="1"/>
    <col min="3087" max="3087" width="11.7109375" style="41" customWidth="1"/>
    <col min="3088" max="3088" width="12" style="41" customWidth="1"/>
    <col min="3089" max="3089" width="12.140625" style="41" customWidth="1"/>
    <col min="3090" max="3090" width="11.7109375" style="41" customWidth="1"/>
    <col min="3091" max="3091" width="12" style="41" customWidth="1"/>
    <col min="3092" max="3092" width="12.28515625" style="41" customWidth="1"/>
    <col min="3093" max="3093" width="12.85546875" style="41" customWidth="1"/>
    <col min="3094" max="3094" width="17.140625" style="41" customWidth="1"/>
    <col min="3095" max="3096" width="13.28515625" style="41" customWidth="1"/>
    <col min="3097" max="3097" width="13.85546875" style="41" customWidth="1"/>
    <col min="3098" max="3098" width="16.85546875" style="41" customWidth="1"/>
    <col min="3099" max="3099" width="13.28515625" style="41" customWidth="1"/>
    <col min="3100" max="3100" width="13.42578125" style="41" customWidth="1"/>
    <col min="3101" max="3101" width="14.5703125" style="41" customWidth="1"/>
    <col min="3102" max="3102" width="14.7109375" style="41" customWidth="1"/>
    <col min="3103" max="3103" width="13.7109375" style="41" customWidth="1"/>
    <col min="3104" max="3104" width="51.28515625" style="41" customWidth="1"/>
    <col min="3105" max="3110" width="9.140625" style="41"/>
    <col min="3111" max="3111" width="0" style="41" hidden="1" customWidth="1"/>
    <col min="3112" max="3328" width="9.140625" style="41"/>
    <col min="3329" max="3329" width="3.5703125" style="41" bestFit="1" customWidth="1"/>
    <col min="3330" max="3332" width="2.28515625" style="41" customWidth="1"/>
    <col min="3333" max="3333" width="56" style="41" bestFit="1" customWidth="1"/>
    <col min="3334" max="3334" width="2.7109375" style="41" customWidth="1"/>
    <col min="3335" max="3335" width="16.7109375" style="41" bestFit="1" customWidth="1"/>
    <col min="3336" max="3336" width="2.7109375" style="41" customWidth="1"/>
    <col min="3337" max="3337" width="12.7109375" style="41" customWidth="1"/>
    <col min="3338" max="3338" width="12.5703125" style="41" customWidth="1"/>
    <col min="3339" max="3339" width="12.28515625" style="41" customWidth="1"/>
    <col min="3340" max="3340" width="11.7109375" style="41" customWidth="1"/>
    <col min="3341" max="3341" width="12.140625" style="41" customWidth="1"/>
    <col min="3342" max="3342" width="12.28515625" style="41" customWidth="1"/>
    <col min="3343" max="3343" width="11.7109375" style="41" customWidth="1"/>
    <col min="3344" max="3344" width="12" style="41" customWidth="1"/>
    <col min="3345" max="3345" width="12.140625" style="41" customWidth="1"/>
    <col min="3346" max="3346" width="11.7109375" style="41" customWidth="1"/>
    <col min="3347" max="3347" width="12" style="41" customWidth="1"/>
    <col min="3348" max="3348" width="12.28515625" style="41" customWidth="1"/>
    <col min="3349" max="3349" width="12.85546875" style="41" customWidth="1"/>
    <col min="3350" max="3350" width="17.140625" style="41" customWidth="1"/>
    <col min="3351" max="3352" width="13.28515625" style="41" customWidth="1"/>
    <col min="3353" max="3353" width="13.85546875" style="41" customWidth="1"/>
    <col min="3354" max="3354" width="16.85546875" style="41" customWidth="1"/>
    <col min="3355" max="3355" width="13.28515625" style="41" customWidth="1"/>
    <col min="3356" max="3356" width="13.42578125" style="41" customWidth="1"/>
    <col min="3357" max="3357" width="14.5703125" style="41" customWidth="1"/>
    <col min="3358" max="3358" width="14.7109375" style="41" customWidth="1"/>
    <col min="3359" max="3359" width="13.7109375" style="41" customWidth="1"/>
    <col min="3360" max="3360" width="51.28515625" style="41" customWidth="1"/>
    <col min="3361" max="3366" width="9.140625" style="41"/>
    <col min="3367" max="3367" width="0" style="41" hidden="1" customWidth="1"/>
    <col min="3368" max="3584" width="9.140625" style="41"/>
    <col min="3585" max="3585" width="3.5703125" style="41" bestFit="1" customWidth="1"/>
    <col min="3586" max="3588" width="2.28515625" style="41" customWidth="1"/>
    <col min="3589" max="3589" width="56" style="41" bestFit="1" customWidth="1"/>
    <col min="3590" max="3590" width="2.7109375" style="41" customWidth="1"/>
    <col min="3591" max="3591" width="16.7109375" style="41" bestFit="1" customWidth="1"/>
    <col min="3592" max="3592" width="2.7109375" style="41" customWidth="1"/>
    <col min="3593" max="3593" width="12.7109375" style="41" customWidth="1"/>
    <col min="3594" max="3594" width="12.5703125" style="41" customWidth="1"/>
    <col min="3595" max="3595" width="12.28515625" style="41" customWidth="1"/>
    <col min="3596" max="3596" width="11.7109375" style="41" customWidth="1"/>
    <col min="3597" max="3597" width="12.140625" style="41" customWidth="1"/>
    <col min="3598" max="3598" width="12.28515625" style="41" customWidth="1"/>
    <col min="3599" max="3599" width="11.7109375" style="41" customWidth="1"/>
    <col min="3600" max="3600" width="12" style="41" customWidth="1"/>
    <col min="3601" max="3601" width="12.140625" style="41" customWidth="1"/>
    <col min="3602" max="3602" width="11.7109375" style="41" customWidth="1"/>
    <col min="3603" max="3603" width="12" style="41" customWidth="1"/>
    <col min="3604" max="3604" width="12.28515625" style="41" customWidth="1"/>
    <col min="3605" max="3605" width="12.85546875" style="41" customWidth="1"/>
    <col min="3606" max="3606" width="17.140625" style="41" customWidth="1"/>
    <col min="3607" max="3608" width="13.28515625" style="41" customWidth="1"/>
    <col min="3609" max="3609" width="13.85546875" style="41" customWidth="1"/>
    <col min="3610" max="3610" width="16.85546875" style="41" customWidth="1"/>
    <col min="3611" max="3611" width="13.28515625" style="41" customWidth="1"/>
    <col min="3612" max="3612" width="13.42578125" style="41" customWidth="1"/>
    <col min="3613" max="3613" width="14.5703125" style="41" customWidth="1"/>
    <col min="3614" max="3614" width="14.7109375" style="41" customWidth="1"/>
    <col min="3615" max="3615" width="13.7109375" style="41" customWidth="1"/>
    <col min="3616" max="3616" width="51.28515625" style="41" customWidth="1"/>
    <col min="3617" max="3622" width="9.140625" style="41"/>
    <col min="3623" max="3623" width="0" style="41" hidden="1" customWidth="1"/>
    <col min="3624" max="3840" width="9.140625" style="41"/>
    <col min="3841" max="3841" width="3.5703125" style="41" bestFit="1" customWidth="1"/>
    <col min="3842" max="3844" width="2.28515625" style="41" customWidth="1"/>
    <col min="3845" max="3845" width="56" style="41" bestFit="1" customWidth="1"/>
    <col min="3846" max="3846" width="2.7109375" style="41" customWidth="1"/>
    <col min="3847" max="3847" width="16.7109375" style="41" bestFit="1" customWidth="1"/>
    <col min="3848" max="3848" width="2.7109375" style="41" customWidth="1"/>
    <col min="3849" max="3849" width="12.7109375" style="41" customWidth="1"/>
    <col min="3850" max="3850" width="12.5703125" style="41" customWidth="1"/>
    <col min="3851" max="3851" width="12.28515625" style="41" customWidth="1"/>
    <col min="3852" max="3852" width="11.7109375" style="41" customWidth="1"/>
    <col min="3853" max="3853" width="12.140625" style="41" customWidth="1"/>
    <col min="3854" max="3854" width="12.28515625" style="41" customWidth="1"/>
    <col min="3855" max="3855" width="11.7109375" style="41" customWidth="1"/>
    <col min="3856" max="3856" width="12" style="41" customWidth="1"/>
    <col min="3857" max="3857" width="12.140625" style="41" customWidth="1"/>
    <col min="3858" max="3858" width="11.7109375" style="41" customWidth="1"/>
    <col min="3859" max="3859" width="12" style="41" customWidth="1"/>
    <col min="3860" max="3860" width="12.28515625" style="41" customWidth="1"/>
    <col min="3861" max="3861" width="12.85546875" style="41" customWidth="1"/>
    <col min="3862" max="3862" width="17.140625" style="41" customWidth="1"/>
    <col min="3863" max="3864" width="13.28515625" style="41" customWidth="1"/>
    <col min="3865" max="3865" width="13.85546875" style="41" customWidth="1"/>
    <col min="3866" max="3866" width="16.85546875" style="41" customWidth="1"/>
    <col min="3867" max="3867" width="13.28515625" style="41" customWidth="1"/>
    <col min="3868" max="3868" width="13.42578125" style="41" customWidth="1"/>
    <col min="3869" max="3869" width="14.5703125" style="41" customWidth="1"/>
    <col min="3870" max="3870" width="14.7109375" style="41" customWidth="1"/>
    <col min="3871" max="3871" width="13.7109375" style="41" customWidth="1"/>
    <col min="3872" max="3872" width="51.28515625" style="41" customWidth="1"/>
    <col min="3873" max="3878" width="9.140625" style="41"/>
    <col min="3879" max="3879" width="0" style="41" hidden="1" customWidth="1"/>
    <col min="3880" max="4096" width="9.140625" style="41"/>
    <col min="4097" max="4097" width="3.5703125" style="41" bestFit="1" customWidth="1"/>
    <col min="4098" max="4100" width="2.28515625" style="41" customWidth="1"/>
    <col min="4101" max="4101" width="56" style="41" bestFit="1" customWidth="1"/>
    <col min="4102" max="4102" width="2.7109375" style="41" customWidth="1"/>
    <col min="4103" max="4103" width="16.7109375" style="41" bestFit="1" customWidth="1"/>
    <col min="4104" max="4104" width="2.7109375" style="41" customWidth="1"/>
    <col min="4105" max="4105" width="12.7109375" style="41" customWidth="1"/>
    <col min="4106" max="4106" width="12.5703125" style="41" customWidth="1"/>
    <col min="4107" max="4107" width="12.28515625" style="41" customWidth="1"/>
    <col min="4108" max="4108" width="11.7109375" style="41" customWidth="1"/>
    <col min="4109" max="4109" width="12.140625" style="41" customWidth="1"/>
    <col min="4110" max="4110" width="12.28515625" style="41" customWidth="1"/>
    <col min="4111" max="4111" width="11.7109375" style="41" customWidth="1"/>
    <col min="4112" max="4112" width="12" style="41" customWidth="1"/>
    <col min="4113" max="4113" width="12.140625" style="41" customWidth="1"/>
    <col min="4114" max="4114" width="11.7109375" style="41" customWidth="1"/>
    <col min="4115" max="4115" width="12" style="41" customWidth="1"/>
    <col min="4116" max="4116" width="12.28515625" style="41" customWidth="1"/>
    <col min="4117" max="4117" width="12.85546875" style="41" customWidth="1"/>
    <col min="4118" max="4118" width="17.140625" style="41" customWidth="1"/>
    <col min="4119" max="4120" width="13.28515625" style="41" customWidth="1"/>
    <col min="4121" max="4121" width="13.85546875" style="41" customWidth="1"/>
    <col min="4122" max="4122" width="16.85546875" style="41" customWidth="1"/>
    <col min="4123" max="4123" width="13.28515625" style="41" customWidth="1"/>
    <col min="4124" max="4124" width="13.42578125" style="41" customWidth="1"/>
    <col min="4125" max="4125" width="14.5703125" style="41" customWidth="1"/>
    <col min="4126" max="4126" width="14.7109375" style="41" customWidth="1"/>
    <col min="4127" max="4127" width="13.7109375" style="41" customWidth="1"/>
    <col min="4128" max="4128" width="51.28515625" style="41" customWidth="1"/>
    <col min="4129" max="4134" width="9.140625" style="41"/>
    <col min="4135" max="4135" width="0" style="41" hidden="1" customWidth="1"/>
    <col min="4136" max="4352" width="9.140625" style="41"/>
    <col min="4353" max="4353" width="3.5703125" style="41" bestFit="1" customWidth="1"/>
    <col min="4354" max="4356" width="2.28515625" style="41" customWidth="1"/>
    <col min="4357" max="4357" width="56" style="41" bestFit="1" customWidth="1"/>
    <col min="4358" max="4358" width="2.7109375" style="41" customWidth="1"/>
    <col min="4359" max="4359" width="16.7109375" style="41" bestFit="1" customWidth="1"/>
    <col min="4360" max="4360" width="2.7109375" style="41" customWidth="1"/>
    <col min="4361" max="4361" width="12.7109375" style="41" customWidth="1"/>
    <col min="4362" max="4362" width="12.5703125" style="41" customWidth="1"/>
    <col min="4363" max="4363" width="12.28515625" style="41" customWidth="1"/>
    <col min="4364" max="4364" width="11.7109375" style="41" customWidth="1"/>
    <col min="4365" max="4365" width="12.140625" style="41" customWidth="1"/>
    <col min="4366" max="4366" width="12.28515625" style="41" customWidth="1"/>
    <col min="4367" max="4367" width="11.7109375" style="41" customWidth="1"/>
    <col min="4368" max="4368" width="12" style="41" customWidth="1"/>
    <col min="4369" max="4369" width="12.140625" style="41" customWidth="1"/>
    <col min="4370" max="4370" width="11.7109375" style="41" customWidth="1"/>
    <col min="4371" max="4371" width="12" style="41" customWidth="1"/>
    <col min="4372" max="4372" width="12.28515625" style="41" customWidth="1"/>
    <col min="4373" max="4373" width="12.85546875" style="41" customWidth="1"/>
    <col min="4374" max="4374" width="17.140625" style="41" customWidth="1"/>
    <col min="4375" max="4376" width="13.28515625" style="41" customWidth="1"/>
    <col min="4377" max="4377" width="13.85546875" style="41" customWidth="1"/>
    <col min="4378" max="4378" width="16.85546875" style="41" customWidth="1"/>
    <col min="4379" max="4379" width="13.28515625" style="41" customWidth="1"/>
    <col min="4380" max="4380" width="13.42578125" style="41" customWidth="1"/>
    <col min="4381" max="4381" width="14.5703125" style="41" customWidth="1"/>
    <col min="4382" max="4382" width="14.7109375" style="41" customWidth="1"/>
    <col min="4383" max="4383" width="13.7109375" style="41" customWidth="1"/>
    <col min="4384" max="4384" width="51.28515625" style="41" customWidth="1"/>
    <col min="4385" max="4390" width="9.140625" style="41"/>
    <col min="4391" max="4391" width="0" style="41" hidden="1" customWidth="1"/>
    <col min="4392" max="4608" width="9.140625" style="41"/>
    <col min="4609" max="4609" width="3.5703125" style="41" bestFit="1" customWidth="1"/>
    <col min="4610" max="4612" width="2.28515625" style="41" customWidth="1"/>
    <col min="4613" max="4613" width="56" style="41" bestFit="1" customWidth="1"/>
    <col min="4614" max="4614" width="2.7109375" style="41" customWidth="1"/>
    <col min="4615" max="4615" width="16.7109375" style="41" bestFit="1" customWidth="1"/>
    <col min="4616" max="4616" width="2.7109375" style="41" customWidth="1"/>
    <col min="4617" max="4617" width="12.7109375" style="41" customWidth="1"/>
    <col min="4618" max="4618" width="12.5703125" style="41" customWidth="1"/>
    <col min="4619" max="4619" width="12.28515625" style="41" customWidth="1"/>
    <col min="4620" max="4620" width="11.7109375" style="41" customWidth="1"/>
    <col min="4621" max="4621" width="12.140625" style="41" customWidth="1"/>
    <col min="4622" max="4622" width="12.28515625" style="41" customWidth="1"/>
    <col min="4623" max="4623" width="11.7109375" style="41" customWidth="1"/>
    <col min="4624" max="4624" width="12" style="41" customWidth="1"/>
    <col min="4625" max="4625" width="12.140625" style="41" customWidth="1"/>
    <col min="4626" max="4626" width="11.7109375" style="41" customWidth="1"/>
    <col min="4627" max="4627" width="12" style="41" customWidth="1"/>
    <col min="4628" max="4628" width="12.28515625" style="41" customWidth="1"/>
    <col min="4629" max="4629" width="12.85546875" style="41" customWidth="1"/>
    <col min="4630" max="4630" width="17.140625" style="41" customWidth="1"/>
    <col min="4631" max="4632" width="13.28515625" style="41" customWidth="1"/>
    <col min="4633" max="4633" width="13.85546875" style="41" customWidth="1"/>
    <col min="4634" max="4634" width="16.85546875" style="41" customWidth="1"/>
    <col min="4635" max="4635" width="13.28515625" style="41" customWidth="1"/>
    <col min="4636" max="4636" width="13.42578125" style="41" customWidth="1"/>
    <col min="4637" max="4637" width="14.5703125" style="41" customWidth="1"/>
    <col min="4638" max="4638" width="14.7109375" style="41" customWidth="1"/>
    <col min="4639" max="4639" width="13.7109375" style="41" customWidth="1"/>
    <col min="4640" max="4640" width="51.28515625" style="41" customWidth="1"/>
    <col min="4641" max="4646" width="9.140625" style="41"/>
    <col min="4647" max="4647" width="0" style="41" hidden="1" customWidth="1"/>
    <col min="4648" max="4864" width="9.140625" style="41"/>
    <col min="4865" max="4865" width="3.5703125" style="41" bestFit="1" customWidth="1"/>
    <col min="4866" max="4868" width="2.28515625" style="41" customWidth="1"/>
    <col min="4869" max="4869" width="56" style="41" bestFit="1" customWidth="1"/>
    <col min="4870" max="4870" width="2.7109375" style="41" customWidth="1"/>
    <col min="4871" max="4871" width="16.7109375" style="41" bestFit="1" customWidth="1"/>
    <col min="4872" max="4872" width="2.7109375" style="41" customWidth="1"/>
    <col min="4873" max="4873" width="12.7109375" style="41" customWidth="1"/>
    <col min="4874" max="4874" width="12.5703125" style="41" customWidth="1"/>
    <col min="4875" max="4875" width="12.28515625" style="41" customWidth="1"/>
    <col min="4876" max="4876" width="11.7109375" style="41" customWidth="1"/>
    <col min="4877" max="4877" width="12.140625" style="41" customWidth="1"/>
    <col min="4878" max="4878" width="12.28515625" style="41" customWidth="1"/>
    <col min="4879" max="4879" width="11.7109375" style="41" customWidth="1"/>
    <col min="4880" max="4880" width="12" style="41" customWidth="1"/>
    <col min="4881" max="4881" width="12.140625" style="41" customWidth="1"/>
    <col min="4882" max="4882" width="11.7109375" style="41" customWidth="1"/>
    <col min="4883" max="4883" width="12" style="41" customWidth="1"/>
    <col min="4884" max="4884" width="12.28515625" style="41" customWidth="1"/>
    <col min="4885" max="4885" width="12.85546875" style="41" customWidth="1"/>
    <col min="4886" max="4886" width="17.140625" style="41" customWidth="1"/>
    <col min="4887" max="4888" width="13.28515625" style="41" customWidth="1"/>
    <col min="4889" max="4889" width="13.85546875" style="41" customWidth="1"/>
    <col min="4890" max="4890" width="16.85546875" style="41" customWidth="1"/>
    <col min="4891" max="4891" width="13.28515625" style="41" customWidth="1"/>
    <col min="4892" max="4892" width="13.42578125" style="41" customWidth="1"/>
    <col min="4893" max="4893" width="14.5703125" style="41" customWidth="1"/>
    <col min="4894" max="4894" width="14.7109375" style="41" customWidth="1"/>
    <col min="4895" max="4895" width="13.7109375" style="41" customWidth="1"/>
    <col min="4896" max="4896" width="51.28515625" style="41" customWidth="1"/>
    <col min="4897" max="4902" width="9.140625" style="41"/>
    <col min="4903" max="4903" width="0" style="41" hidden="1" customWidth="1"/>
    <col min="4904" max="5120" width="9.140625" style="41"/>
    <col min="5121" max="5121" width="3.5703125" style="41" bestFit="1" customWidth="1"/>
    <col min="5122" max="5124" width="2.28515625" style="41" customWidth="1"/>
    <col min="5125" max="5125" width="56" style="41" bestFit="1" customWidth="1"/>
    <col min="5126" max="5126" width="2.7109375" style="41" customWidth="1"/>
    <col min="5127" max="5127" width="16.7109375" style="41" bestFit="1" customWidth="1"/>
    <col min="5128" max="5128" width="2.7109375" style="41" customWidth="1"/>
    <col min="5129" max="5129" width="12.7109375" style="41" customWidth="1"/>
    <col min="5130" max="5130" width="12.5703125" style="41" customWidth="1"/>
    <col min="5131" max="5131" width="12.28515625" style="41" customWidth="1"/>
    <col min="5132" max="5132" width="11.7109375" style="41" customWidth="1"/>
    <col min="5133" max="5133" width="12.140625" style="41" customWidth="1"/>
    <col min="5134" max="5134" width="12.28515625" style="41" customWidth="1"/>
    <col min="5135" max="5135" width="11.7109375" style="41" customWidth="1"/>
    <col min="5136" max="5136" width="12" style="41" customWidth="1"/>
    <col min="5137" max="5137" width="12.140625" style="41" customWidth="1"/>
    <col min="5138" max="5138" width="11.7109375" style="41" customWidth="1"/>
    <col min="5139" max="5139" width="12" style="41" customWidth="1"/>
    <col min="5140" max="5140" width="12.28515625" style="41" customWidth="1"/>
    <col min="5141" max="5141" width="12.85546875" style="41" customWidth="1"/>
    <col min="5142" max="5142" width="17.140625" style="41" customWidth="1"/>
    <col min="5143" max="5144" width="13.28515625" style="41" customWidth="1"/>
    <col min="5145" max="5145" width="13.85546875" style="41" customWidth="1"/>
    <col min="5146" max="5146" width="16.85546875" style="41" customWidth="1"/>
    <col min="5147" max="5147" width="13.28515625" style="41" customWidth="1"/>
    <col min="5148" max="5148" width="13.42578125" style="41" customWidth="1"/>
    <col min="5149" max="5149" width="14.5703125" style="41" customWidth="1"/>
    <col min="5150" max="5150" width="14.7109375" style="41" customWidth="1"/>
    <col min="5151" max="5151" width="13.7109375" style="41" customWidth="1"/>
    <col min="5152" max="5152" width="51.28515625" style="41" customWidth="1"/>
    <col min="5153" max="5158" width="9.140625" style="41"/>
    <col min="5159" max="5159" width="0" style="41" hidden="1" customWidth="1"/>
    <col min="5160" max="5376" width="9.140625" style="41"/>
    <col min="5377" max="5377" width="3.5703125" style="41" bestFit="1" customWidth="1"/>
    <col min="5378" max="5380" width="2.28515625" style="41" customWidth="1"/>
    <col min="5381" max="5381" width="56" style="41" bestFit="1" customWidth="1"/>
    <col min="5382" max="5382" width="2.7109375" style="41" customWidth="1"/>
    <col min="5383" max="5383" width="16.7109375" style="41" bestFit="1" customWidth="1"/>
    <col min="5384" max="5384" width="2.7109375" style="41" customWidth="1"/>
    <col min="5385" max="5385" width="12.7109375" style="41" customWidth="1"/>
    <col min="5386" max="5386" width="12.5703125" style="41" customWidth="1"/>
    <col min="5387" max="5387" width="12.28515625" style="41" customWidth="1"/>
    <col min="5388" max="5388" width="11.7109375" style="41" customWidth="1"/>
    <col min="5389" max="5389" width="12.140625" style="41" customWidth="1"/>
    <col min="5390" max="5390" width="12.28515625" style="41" customWidth="1"/>
    <col min="5391" max="5391" width="11.7109375" style="41" customWidth="1"/>
    <col min="5392" max="5392" width="12" style="41" customWidth="1"/>
    <col min="5393" max="5393" width="12.140625" style="41" customWidth="1"/>
    <col min="5394" max="5394" width="11.7109375" style="41" customWidth="1"/>
    <col min="5395" max="5395" width="12" style="41" customWidth="1"/>
    <col min="5396" max="5396" width="12.28515625" style="41" customWidth="1"/>
    <col min="5397" max="5397" width="12.85546875" style="41" customWidth="1"/>
    <col min="5398" max="5398" width="17.140625" style="41" customWidth="1"/>
    <col min="5399" max="5400" width="13.28515625" style="41" customWidth="1"/>
    <col min="5401" max="5401" width="13.85546875" style="41" customWidth="1"/>
    <col min="5402" max="5402" width="16.85546875" style="41" customWidth="1"/>
    <col min="5403" max="5403" width="13.28515625" style="41" customWidth="1"/>
    <col min="5404" max="5404" width="13.42578125" style="41" customWidth="1"/>
    <col min="5405" max="5405" width="14.5703125" style="41" customWidth="1"/>
    <col min="5406" max="5406" width="14.7109375" style="41" customWidth="1"/>
    <col min="5407" max="5407" width="13.7109375" style="41" customWidth="1"/>
    <col min="5408" max="5408" width="51.28515625" style="41" customWidth="1"/>
    <col min="5409" max="5414" width="9.140625" style="41"/>
    <col min="5415" max="5415" width="0" style="41" hidden="1" customWidth="1"/>
    <col min="5416" max="5632" width="9.140625" style="41"/>
    <col min="5633" max="5633" width="3.5703125" style="41" bestFit="1" customWidth="1"/>
    <col min="5634" max="5636" width="2.28515625" style="41" customWidth="1"/>
    <col min="5637" max="5637" width="56" style="41" bestFit="1" customWidth="1"/>
    <col min="5638" max="5638" width="2.7109375" style="41" customWidth="1"/>
    <col min="5639" max="5639" width="16.7109375" style="41" bestFit="1" customWidth="1"/>
    <col min="5640" max="5640" width="2.7109375" style="41" customWidth="1"/>
    <col min="5641" max="5641" width="12.7109375" style="41" customWidth="1"/>
    <col min="5642" max="5642" width="12.5703125" style="41" customWidth="1"/>
    <col min="5643" max="5643" width="12.28515625" style="41" customWidth="1"/>
    <col min="5644" max="5644" width="11.7109375" style="41" customWidth="1"/>
    <col min="5645" max="5645" width="12.140625" style="41" customWidth="1"/>
    <col min="5646" max="5646" width="12.28515625" style="41" customWidth="1"/>
    <col min="5647" max="5647" width="11.7109375" style="41" customWidth="1"/>
    <col min="5648" max="5648" width="12" style="41" customWidth="1"/>
    <col min="5649" max="5649" width="12.140625" style="41" customWidth="1"/>
    <col min="5650" max="5650" width="11.7109375" style="41" customWidth="1"/>
    <col min="5651" max="5651" width="12" style="41" customWidth="1"/>
    <col min="5652" max="5652" width="12.28515625" style="41" customWidth="1"/>
    <col min="5653" max="5653" width="12.85546875" style="41" customWidth="1"/>
    <col min="5654" max="5654" width="17.140625" style="41" customWidth="1"/>
    <col min="5655" max="5656" width="13.28515625" style="41" customWidth="1"/>
    <col min="5657" max="5657" width="13.85546875" style="41" customWidth="1"/>
    <col min="5658" max="5658" width="16.85546875" style="41" customWidth="1"/>
    <col min="5659" max="5659" width="13.28515625" style="41" customWidth="1"/>
    <col min="5660" max="5660" width="13.42578125" style="41" customWidth="1"/>
    <col min="5661" max="5661" width="14.5703125" style="41" customWidth="1"/>
    <col min="5662" max="5662" width="14.7109375" style="41" customWidth="1"/>
    <col min="5663" max="5663" width="13.7109375" style="41" customWidth="1"/>
    <col min="5664" max="5664" width="51.28515625" style="41" customWidth="1"/>
    <col min="5665" max="5670" width="9.140625" style="41"/>
    <col min="5671" max="5671" width="0" style="41" hidden="1" customWidth="1"/>
    <col min="5672" max="5888" width="9.140625" style="41"/>
    <col min="5889" max="5889" width="3.5703125" style="41" bestFit="1" customWidth="1"/>
    <col min="5890" max="5892" width="2.28515625" style="41" customWidth="1"/>
    <col min="5893" max="5893" width="56" style="41" bestFit="1" customWidth="1"/>
    <col min="5894" max="5894" width="2.7109375" style="41" customWidth="1"/>
    <col min="5895" max="5895" width="16.7109375" style="41" bestFit="1" customWidth="1"/>
    <col min="5896" max="5896" width="2.7109375" style="41" customWidth="1"/>
    <col min="5897" max="5897" width="12.7109375" style="41" customWidth="1"/>
    <col min="5898" max="5898" width="12.5703125" style="41" customWidth="1"/>
    <col min="5899" max="5899" width="12.28515625" style="41" customWidth="1"/>
    <col min="5900" max="5900" width="11.7109375" style="41" customWidth="1"/>
    <col min="5901" max="5901" width="12.140625" style="41" customWidth="1"/>
    <col min="5902" max="5902" width="12.28515625" style="41" customWidth="1"/>
    <col min="5903" max="5903" width="11.7109375" style="41" customWidth="1"/>
    <col min="5904" max="5904" width="12" style="41" customWidth="1"/>
    <col min="5905" max="5905" width="12.140625" style="41" customWidth="1"/>
    <col min="5906" max="5906" width="11.7109375" style="41" customWidth="1"/>
    <col min="5907" max="5907" width="12" style="41" customWidth="1"/>
    <col min="5908" max="5908" width="12.28515625" style="41" customWidth="1"/>
    <col min="5909" max="5909" width="12.85546875" style="41" customWidth="1"/>
    <col min="5910" max="5910" width="17.140625" style="41" customWidth="1"/>
    <col min="5911" max="5912" width="13.28515625" style="41" customWidth="1"/>
    <col min="5913" max="5913" width="13.85546875" style="41" customWidth="1"/>
    <col min="5914" max="5914" width="16.85546875" style="41" customWidth="1"/>
    <col min="5915" max="5915" width="13.28515625" style="41" customWidth="1"/>
    <col min="5916" max="5916" width="13.42578125" style="41" customWidth="1"/>
    <col min="5917" max="5917" width="14.5703125" style="41" customWidth="1"/>
    <col min="5918" max="5918" width="14.7109375" style="41" customWidth="1"/>
    <col min="5919" max="5919" width="13.7109375" style="41" customWidth="1"/>
    <col min="5920" max="5920" width="51.28515625" style="41" customWidth="1"/>
    <col min="5921" max="5926" width="9.140625" style="41"/>
    <col min="5927" max="5927" width="0" style="41" hidden="1" customWidth="1"/>
    <col min="5928" max="6144" width="9.140625" style="41"/>
    <col min="6145" max="6145" width="3.5703125" style="41" bestFit="1" customWidth="1"/>
    <col min="6146" max="6148" width="2.28515625" style="41" customWidth="1"/>
    <col min="6149" max="6149" width="56" style="41" bestFit="1" customWidth="1"/>
    <col min="6150" max="6150" width="2.7109375" style="41" customWidth="1"/>
    <col min="6151" max="6151" width="16.7109375" style="41" bestFit="1" customWidth="1"/>
    <col min="6152" max="6152" width="2.7109375" style="41" customWidth="1"/>
    <col min="6153" max="6153" width="12.7109375" style="41" customWidth="1"/>
    <col min="6154" max="6154" width="12.5703125" style="41" customWidth="1"/>
    <col min="6155" max="6155" width="12.28515625" style="41" customWidth="1"/>
    <col min="6156" max="6156" width="11.7109375" style="41" customWidth="1"/>
    <col min="6157" max="6157" width="12.140625" style="41" customWidth="1"/>
    <col min="6158" max="6158" width="12.28515625" style="41" customWidth="1"/>
    <col min="6159" max="6159" width="11.7109375" style="41" customWidth="1"/>
    <col min="6160" max="6160" width="12" style="41" customWidth="1"/>
    <col min="6161" max="6161" width="12.140625" style="41" customWidth="1"/>
    <col min="6162" max="6162" width="11.7109375" style="41" customWidth="1"/>
    <col min="6163" max="6163" width="12" style="41" customWidth="1"/>
    <col min="6164" max="6164" width="12.28515625" style="41" customWidth="1"/>
    <col min="6165" max="6165" width="12.85546875" style="41" customWidth="1"/>
    <col min="6166" max="6166" width="17.140625" style="41" customWidth="1"/>
    <col min="6167" max="6168" width="13.28515625" style="41" customWidth="1"/>
    <col min="6169" max="6169" width="13.85546875" style="41" customWidth="1"/>
    <col min="6170" max="6170" width="16.85546875" style="41" customWidth="1"/>
    <col min="6171" max="6171" width="13.28515625" style="41" customWidth="1"/>
    <col min="6172" max="6172" width="13.42578125" style="41" customWidth="1"/>
    <col min="6173" max="6173" width="14.5703125" style="41" customWidth="1"/>
    <col min="6174" max="6174" width="14.7109375" style="41" customWidth="1"/>
    <col min="6175" max="6175" width="13.7109375" style="41" customWidth="1"/>
    <col min="6176" max="6176" width="51.28515625" style="41" customWidth="1"/>
    <col min="6177" max="6182" width="9.140625" style="41"/>
    <col min="6183" max="6183" width="0" style="41" hidden="1" customWidth="1"/>
    <col min="6184" max="6400" width="9.140625" style="41"/>
    <col min="6401" max="6401" width="3.5703125" style="41" bestFit="1" customWidth="1"/>
    <col min="6402" max="6404" width="2.28515625" style="41" customWidth="1"/>
    <col min="6405" max="6405" width="56" style="41" bestFit="1" customWidth="1"/>
    <col min="6406" max="6406" width="2.7109375" style="41" customWidth="1"/>
    <col min="6407" max="6407" width="16.7109375" style="41" bestFit="1" customWidth="1"/>
    <col min="6408" max="6408" width="2.7109375" style="41" customWidth="1"/>
    <col min="6409" max="6409" width="12.7109375" style="41" customWidth="1"/>
    <col min="6410" max="6410" width="12.5703125" style="41" customWidth="1"/>
    <col min="6411" max="6411" width="12.28515625" style="41" customWidth="1"/>
    <col min="6412" max="6412" width="11.7109375" style="41" customWidth="1"/>
    <col min="6413" max="6413" width="12.140625" style="41" customWidth="1"/>
    <col min="6414" max="6414" width="12.28515625" style="41" customWidth="1"/>
    <col min="6415" max="6415" width="11.7109375" style="41" customWidth="1"/>
    <col min="6416" max="6416" width="12" style="41" customWidth="1"/>
    <col min="6417" max="6417" width="12.140625" style="41" customWidth="1"/>
    <col min="6418" max="6418" width="11.7109375" style="41" customWidth="1"/>
    <col min="6419" max="6419" width="12" style="41" customWidth="1"/>
    <col min="6420" max="6420" width="12.28515625" style="41" customWidth="1"/>
    <col min="6421" max="6421" width="12.85546875" style="41" customWidth="1"/>
    <col min="6422" max="6422" width="17.140625" style="41" customWidth="1"/>
    <col min="6423" max="6424" width="13.28515625" style="41" customWidth="1"/>
    <col min="6425" max="6425" width="13.85546875" style="41" customWidth="1"/>
    <col min="6426" max="6426" width="16.85546875" style="41" customWidth="1"/>
    <col min="6427" max="6427" width="13.28515625" style="41" customWidth="1"/>
    <col min="6428" max="6428" width="13.42578125" style="41" customWidth="1"/>
    <col min="6429" max="6429" width="14.5703125" style="41" customWidth="1"/>
    <col min="6430" max="6430" width="14.7109375" style="41" customWidth="1"/>
    <col min="6431" max="6431" width="13.7109375" style="41" customWidth="1"/>
    <col min="6432" max="6432" width="51.28515625" style="41" customWidth="1"/>
    <col min="6433" max="6438" width="9.140625" style="41"/>
    <col min="6439" max="6439" width="0" style="41" hidden="1" customWidth="1"/>
    <col min="6440" max="6656" width="9.140625" style="41"/>
    <col min="6657" max="6657" width="3.5703125" style="41" bestFit="1" customWidth="1"/>
    <col min="6658" max="6660" width="2.28515625" style="41" customWidth="1"/>
    <col min="6661" max="6661" width="56" style="41" bestFit="1" customWidth="1"/>
    <col min="6662" max="6662" width="2.7109375" style="41" customWidth="1"/>
    <col min="6663" max="6663" width="16.7109375" style="41" bestFit="1" customWidth="1"/>
    <col min="6664" max="6664" width="2.7109375" style="41" customWidth="1"/>
    <col min="6665" max="6665" width="12.7109375" style="41" customWidth="1"/>
    <col min="6666" max="6666" width="12.5703125" style="41" customWidth="1"/>
    <col min="6667" max="6667" width="12.28515625" style="41" customWidth="1"/>
    <col min="6668" max="6668" width="11.7109375" style="41" customWidth="1"/>
    <col min="6669" max="6669" width="12.140625" style="41" customWidth="1"/>
    <col min="6670" max="6670" width="12.28515625" style="41" customWidth="1"/>
    <col min="6671" max="6671" width="11.7109375" style="41" customWidth="1"/>
    <col min="6672" max="6672" width="12" style="41" customWidth="1"/>
    <col min="6673" max="6673" width="12.140625" style="41" customWidth="1"/>
    <col min="6674" max="6674" width="11.7109375" style="41" customWidth="1"/>
    <col min="6675" max="6675" width="12" style="41" customWidth="1"/>
    <col min="6676" max="6676" width="12.28515625" style="41" customWidth="1"/>
    <col min="6677" max="6677" width="12.85546875" style="41" customWidth="1"/>
    <col min="6678" max="6678" width="17.140625" style="41" customWidth="1"/>
    <col min="6679" max="6680" width="13.28515625" style="41" customWidth="1"/>
    <col min="6681" max="6681" width="13.85546875" style="41" customWidth="1"/>
    <col min="6682" max="6682" width="16.85546875" style="41" customWidth="1"/>
    <col min="6683" max="6683" width="13.28515625" style="41" customWidth="1"/>
    <col min="6684" max="6684" width="13.42578125" style="41" customWidth="1"/>
    <col min="6685" max="6685" width="14.5703125" style="41" customWidth="1"/>
    <col min="6686" max="6686" width="14.7109375" style="41" customWidth="1"/>
    <col min="6687" max="6687" width="13.7109375" style="41" customWidth="1"/>
    <col min="6688" max="6688" width="51.28515625" style="41" customWidth="1"/>
    <col min="6689" max="6694" width="9.140625" style="41"/>
    <col min="6695" max="6695" width="0" style="41" hidden="1" customWidth="1"/>
    <col min="6696" max="6912" width="9.140625" style="41"/>
    <col min="6913" max="6913" width="3.5703125" style="41" bestFit="1" customWidth="1"/>
    <col min="6914" max="6916" width="2.28515625" style="41" customWidth="1"/>
    <col min="6917" max="6917" width="56" style="41" bestFit="1" customWidth="1"/>
    <col min="6918" max="6918" width="2.7109375" style="41" customWidth="1"/>
    <col min="6919" max="6919" width="16.7109375" style="41" bestFit="1" customWidth="1"/>
    <col min="6920" max="6920" width="2.7109375" style="41" customWidth="1"/>
    <col min="6921" max="6921" width="12.7109375" style="41" customWidth="1"/>
    <col min="6922" max="6922" width="12.5703125" style="41" customWidth="1"/>
    <col min="6923" max="6923" width="12.28515625" style="41" customWidth="1"/>
    <col min="6924" max="6924" width="11.7109375" style="41" customWidth="1"/>
    <col min="6925" max="6925" width="12.140625" style="41" customWidth="1"/>
    <col min="6926" max="6926" width="12.28515625" style="41" customWidth="1"/>
    <col min="6927" max="6927" width="11.7109375" style="41" customWidth="1"/>
    <col min="6928" max="6928" width="12" style="41" customWidth="1"/>
    <col min="6929" max="6929" width="12.140625" style="41" customWidth="1"/>
    <col min="6930" max="6930" width="11.7109375" style="41" customWidth="1"/>
    <col min="6931" max="6931" width="12" style="41" customWidth="1"/>
    <col min="6932" max="6932" width="12.28515625" style="41" customWidth="1"/>
    <col min="6933" max="6933" width="12.85546875" style="41" customWidth="1"/>
    <col min="6934" max="6934" width="17.140625" style="41" customWidth="1"/>
    <col min="6935" max="6936" width="13.28515625" style="41" customWidth="1"/>
    <col min="6937" max="6937" width="13.85546875" style="41" customWidth="1"/>
    <col min="6938" max="6938" width="16.85546875" style="41" customWidth="1"/>
    <col min="6939" max="6939" width="13.28515625" style="41" customWidth="1"/>
    <col min="6940" max="6940" width="13.42578125" style="41" customWidth="1"/>
    <col min="6941" max="6941" width="14.5703125" style="41" customWidth="1"/>
    <col min="6942" max="6942" width="14.7109375" style="41" customWidth="1"/>
    <col min="6943" max="6943" width="13.7109375" style="41" customWidth="1"/>
    <col min="6944" max="6944" width="51.28515625" style="41" customWidth="1"/>
    <col min="6945" max="6950" width="9.140625" style="41"/>
    <col min="6951" max="6951" width="0" style="41" hidden="1" customWidth="1"/>
    <col min="6952" max="7168" width="9.140625" style="41"/>
    <col min="7169" max="7169" width="3.5703125" style="41" bestFit="1" customWidth="1"/>
    <col min="7170" max="7172" width="2.28515625" style="41" customWidth="1"/>
    <col min="7173" max="7173" width="56" style="41" bestFit="1" customWidth="1"/>
    <col min="7174" max="7174" width="2.7109375" style="41" customWidth="1"/>
    <col min="7175" max="7175" width="16.7109375" style="41" bestFit="1" customWidth="1"/>
    <col min="7176" max="7176" width="2.7109375" style="41" customWidth="1"/>
    <col min="7177" max="7177" width="12.7109375" style="41" customWidth="1"/>
    <col min="7178" max="7178" width="12.5703125" style="41" customWidth="1"/>
    <col min="7179" max="7179" width="12.28515625" style="41" customWidth="1"/>
    <col min="7180" max="7180" width="11.7109375" style="41" customWidth="1"/>
    <col min="7181" max="7181" width="12.140625" style="41" customWidth="1"/>
    <col min="7182" max="7182" width="12.28515625" style="41" customWidth="1"/>
    <col min="7183" max="7183" width="11.7109375" style="41" customWidth="1"/>
    <col min="7184" max="7184" width="12" style="41" customWidth="1"/>
    <col min="7185" max="7185" width="12.140625" style="41" customWidth="1"/>
    <col min="7186" max="7186" width="11.7109375" style="41" customWidth="1"/>
    <col min="7187" max="7187" width="12" style="41" customWidth="1"/>
    <col min="7188" max="7188" width="12.28515625" style="41" customWidth="1"/>
    <col min="7189" max="7189" width="12.85546875" style="41" customWidth="1"/>
    <col min="7190" max="7190" width="17.140625" style="41" customWidth="1"/>
    <col min="7191" max="7192" width="13.28515625" style="41" customWidth="1"/>
    <col min="7193" max="7193" width="13.85546875" style="41" customWidth="1"/>
    <col min="7194" max="7194" width="16.85546875" style="41" customWidth="1"/>
    <col min="7195" max="7195" width="13.28515625" style="41" customWidth="1"/>
    <col min="7196" max="7196" width="13.42578125" style="41" customWidth="1"/>
    <col min="7197" max="7197" width="14.5703125" style="41" customWidth="1"/>
    <col min="7198" max="7198" width="14.7109375" style="41" customWidth="1"/>
    <col min="7199" max="7199" width="13.7109375" style="41" customWidth="1"/>
    <col min="7200" max="7200" width="51.28515625" style="41" customWidth="1"/>
    <col min="7201" max="7206" width="9.140625" style="41"/>
    <col min="7207" max="7207" width="0" style="41" hidden="1" customWidth="1"/>
    <col min="7208" max="7424" width="9.140625" style="41"/>
    <col min="7425" max="7425" width="3.5703125" style="41" bestFit="1" customWidth="1"/>
    <col min="7426" max="7428" width="2.28515625" style="41" customWidth="1"/>
    <col min="7429" max="7429" width="56" style="41" bestFit="1" customWidth="1"/>
    <col min="7430" max="7430" width="2.7109375" style="41" customWidth="1"/>
    <col min="7431" max="7431" width="16.7109375" style="41" bestFit="1" customWidth="1"/>
    <col min="7432" max="7432" width="2.7109375" style="41" customWidth="1"/>
    <col min="7433" max="7433" width="12.7109375" style="41" customWidth="1"/>
    <col min="7434" max="7434" width="12.5703125" style="41" customWidth="1"/>
    <col min="7435" max="7435" width="12.28515625" style="41" customWidth="1"/>
    <col min="7436" max="7436" width="11.7109375" style="41" customWidth="1"/>
    <col min="7437" max="7437" width="12.140625" style="41" customWidth="1"/>
    <col min="7438" max="7438" width="12.28515625" style="41" customWidth="1"/>
    <col min="7439" max="7439" width="11.7109375" style="41" customWidth="1"/>
    <col min="7440" max="7440" width="12" style="41" customWidth="1"/>
    <col min="7441" max="7441" width="12.140625" style="41" customWidth="1"/>
    <col min="7442" max="7442" width="11.7109375" style="41" customWidth="1"/>
    <col min="7443" max="7443" width="12" style="41" customWidth="1"/>
    <col min="7444" max="7444" width="12.28515625" style="41" customWidth="1"/>
    <col min="7445" max="7445" width="12.85546875" style="41" customWidth="1"/>
    <col min="7446" max="7446" width="17.140625" style="41" customWidth="1"/>
    <col min="7447" max="7448" width="13.28515625" style="41" customWidth="1"/>
    <col min="7449" max="7449" width="13.85546875" style="41" customWidth="1"/>
    <col min="7450" max="7450" width="16.85546875" style="41" customWidth="1"/>
    <col min="7451" max="7451" width="13.28515625" style="41" customWidth="1"/>
    <col min="7452" max="7452" width="13.42578125" style="41" customWidth="1"/>
    <col min="7453" max="7453" width="14.5703125" style="41" customWidth="1"/>
    <col min="7454" max="7454" width="14.7109375" style="41" customWidth="1"/>
    <col min="7455" max="7455" width="13.7109375" style="41" customWidth="1"/>
    <col min="7456" max="7456" width="51.28515625" style="41" customWidth="1"/>
    <col min="7457" max="7462" width="9.140625" style="41"/>
    <col min="7463" max="7463" width="0" style="41" hidden="1" customWidth="1"/>
    <col min="7464" max="7680" width="9.140625" style="41"/>
    <col min="7681" max="7681" width="3.5703125" style="41" bestFit="1" customWidth="1"/>
    <col min="7682" max="7684" width="2.28515625" style="41" customWidth="1"/>
    <col min="7685" max="7685" width="56" style="41" bestFit="1" customWidth="1"/>
    <col min="7686" max="7686" width="2.7109375" style="41" customWidth="1"/>
    <col min="7687" max="7687" width="16.7109375" style="41" bestFit="1" customWidth="1"/>
    <col min="7688" max="7688" width="2.7109375" style="41" customWidth="1"/>
    <col min="7689" max="7689" width="12.7109375" style="41" customWidth="1"/>
    <col min="7690" max="7690" width="12.5703125" style="41" customWidth="1"/>
    <col min="7691" max="7691" width="12.28515625" style="41" customWidth="1"/>
    <col min="7692" max="7692" width="11.7109375" style="41" customWidth="1"/>
    <col min="7693" max="7693" width="12.140625" style="41" customWidth="1"/>
    <col min="7694" max="7694" width="12.28515625" style="41" customWidth="1"/>
    <col min="7695" max="7695" width="11.7109375" style="41" customWidth="1"/>
    <col min="7696" max="7696" width="12" style="41" customWidth="1"/>
    <col min="7697" max="7697" width="12.140625" style="41" customWidth="1"/>
    <col min="7698" max="7698" width="11.7109375" style="41" customWidth="1"/>
    <col min="7699" max="7699" width="12" style="41" customWidth="1"/>
    <col min="7700" max="7700" width="12.28515625" style="41" customWidth="1"/>
    <col min="7701" max="7701" width="12.85546875" style="41" customWidth="1"/>
    <col min="7702" max="7702" width="17.140625" style="41" customWidth="1"/>
    <col min="7703" max="7704" width="13.28515625" style="41" customWidth="1"/>
    <col min="7705" max="7705" width="13.85546875" style="41" customWidth="1"/>
    <col min="7706" max="7706" width="16.85546875" style="41" customWidth="1"/>
    <col min="7707" max="7707" width="13.28515625" style="41" customWidth="1"/>
    <col min="7708" max="7708" width="13.42578125" style="41" customWidth="1"/>
    <col min="7709" max="7709" width="14.5703125" style="41" customWidth="1"/>
    <col min="7710" max="7710" width="14.7109375" style="41" customWidth="1"/>
    <col min="7711" max="7711" width="13.7109375" style="41" customWidth="1"/>
    <col min="7712" max="7712" width="51.28515625" style="41" customWidth="1"/>
    <col min="7713" max="7718" width="9.140625" style="41"/>
    <col min="7719" max="7719" width="0" style="41" hidden="1" customWidth="1"/>
    <col min="7720" max="7936" width="9.140625" style="41"/>
    <col min="7937" max="7937" width="3.5703125" style="41" bestFit="1" customWidth="1"/>
    <col min="7938" max="7940" width="2.28515625" style="41" customWidth="1"/>
    <col min="7941" max="7941" width="56" style="41" bestFit="1" customWidth="1"/>
    <col min="7942" max="7942" width="2.7109375" style="41" customWidth="1"/>
    <col min="7943" max="7943" width="16.7109375" style="41" bestFit="1" customWidth="1"/>
    <col min="7944" max="7944" width="2.7109375" style="41" customWidth="1"/>
    <col min="7945" max="7945" width="12.7109375" style="41" customWidth="1"/>
    <col min="7946" max="7946" width="12.5703125" style="41" customWidth="1"/>
    <col min="7947" max="7947" width="12.28515625" style="41" customWidth="1"/>
    <col min="7948" max="7948" width="11.7109375" style="41" customWidth="1"/>
    <col min="7949" max="7949" width="12.140625" style="41" customWidth="1"/>
    <col min="7950" max="7950" width="12.28515625" style="41" customWidth="1"/>
    <col min="7951" max="7951" width="11.7109375" style="41" customWidth="1"/>
    <col min="7952" max="7952" width="12" style="41" customWidth="1"/>
    <col min="7953" max="7953" width="12.140625" style="41" customWidth="1"/>
    <col min="7954" max="7954" width="11.7109375" style="41" customWidth="1"/>
    <col min="7955" max="7955" width="12" style="41" customWidth="1"/>
    <col min="7956" max="7956" width="12.28515625" style="41" customWidth="1"/>
    <col min="7957" max="7957" width="12.85546875" style="41" customWidth="1"/>
    <col min="7958" max="7958" width="17.140625" style="41" customWidth="1"/>
    <col min="7959" max="7960" width="13.28515625" style="41" customWidth="1"/>
    <col min="7961" max="7961" width="13.85546875" style="41" customWidth="1"/>
    <col min="7962" max="7962" width="16.85546875" style="41" customWidth="1"/>
    <col min="7963" max="7963" width="13.28515625" style="41" customWidth="1"/>
    <col min="7964" max="7964" width="13.42578125" style="41" customWidth="1"/>
    <col min="7965" max="7965" width="14.5703125" style="41" customWidth="1"/>
    <col min="7966" max="7966" width="14.7109375" style="41" customWidth="1"/>
    <col min="7967" max="7967" width="13.7109375" style="41" customWidth="1"/>
    <col min="7968" max="7968" width="51.28515625" style="41" customWidth="1"/>
    <col min="7969" max="7974" width="9.140625" style="41"/>
    <col min="7975" max="7975" width="0" style="41" hidden="1" customWidth="1"/>
    <col min="7976" max="8192" width="9.140625" style="41"/>
    <col min="8193" max="8193" width="3.5703125" style="41" bestFit="1" customWidth="1"/>
    <col min="8194" max="8196" width="2.28515625" style="41" customWidth="1"/>
    <col min="8197" max="8197" width="56" style="41" bestFit="1" customWidth="1"/>
    <col min="8198" max="8198" width="2.7109375" style="41" customWidth="1"/>
    <col min="8199" max="8199" width="16.7109375" style="41" bestFit="1" customWidth="1"/>
    <col min="8200" max="8200" width="2.7109375" style="41" customWidth="1"/>
    <col min="8201" max="8201" width="12.7109375" style="41" customWidth="1"/>
    <col min="8202" max="8202" width="12.5703125" style="41" customWidth="1"/>
    <col min="8203" max="8203" width="12.28515625" style="41" customWidth="1"/>
    <col min="8204" max="8204" width="11.7109375" style="41" customWidth="1"/>
    <col min="8205" max="8205" width="12.140625" style="41" customWidth="1"/>
    <col min="8206" max="8206" width="12.28515625" style="41" customWidth="1"/>
    <col min="8207" max="8207" width="11.7109375" style="41" customWidth="1"/>
    <col min="8208" max="8208" width="12" style="41" customWidth="1"/>
    <col min="8209" max="8209" width="12.140625" style="41" customWidth="1"/>
    <col min="8210" max="8210" width="11.7109375" style="41" customWidth="1"/>
    <col min="8211" max="8211" width="12" style="41" customWidth="1"/>
    <col min="8212" max="8212" width="12.28515625" style="41" customWidth="1"/>
    <col min="8213" max="8213" width="12.85546875" style="41" customWidth="1"/>
    <col min="8214" max="8214" width="17.140625" style="41" customWidth="1"/>
    <col min="8215" max="8216" width="13.28515625" style="41" customWidth="1"/>
    <col min="8217" max="8217" width="13.85546875" style="41" customWidth="1"/>
    <col min="8218" max="8218" width="16.85546875" style="41" customWidth="1"/>
    <col min="8219" max="8219" width="13.28515625" style="41" customWidth="1"/>
    <col min="8220" max="8220" width="13.42578125" style="41" customWidth="1"/>
    <col min="8221" max="8221" width="14.5703125" style="41" customWidth="1"/>
    <col min="8222" max="8222" width="14.7109375" style="41" customWidth="1"/>
    <col min="8223" max="8223" width="13.7109375" style="41" customWidth="1"/>
    <col min="8224" max="8224" width="51.28515625" style="41" customWidth="1"/>
    <col min="8225" max="8230" width="9.140625" style="41"/>
    <col min="8231" max="8231" width="0" style="41" hidden="1" customWidth="1"/>
    <col min="8232" max="8448" width="9.140625" style="41"/>
    <col min="8449" max="8449" width="3.5703125" style="41" bestFit="1" customWidth="1"/>
    <col min="8450" max="8452" width="2.28515625" style="41" customWidth="1"/>
    <col min="8453" max="8453" width="56" style="41" bestFit="1" customWidth="1"/>
    <col min="8454" max="8454" width="2.7109375" style="41" customWidth="1"/>
    <col min="8455" max="8455" width="16.7109375" style="41" bestFit="1" customWidth="1"/>
    <col min="8456" max="8456" width="2.7109375" style="41" customWidth="1"/>
    <col min="8457" max="8457" width="12.7109375" style="41" customWidth="1"/>
    <col min="8458" max="8458" width="12.5703125" style="41" customWidth="1"/>
    <col min="8459" max="8459" width="12.28515625" style="41" customWidth="1"/>
    <col min="8460" max="8460" width="11.7109375" style="41" customWidth="1"/>
    <col min="8461" max="8461" width="12.140625" style="41" customWidth="1"/>
    <col min="8462" max="8462" width="12.28515625" style="41" customWidth="1"/>
    <col min="8463" max="8463" width="11.7109375" style="41" customWidth="1"/>
    <col min="8464" max="8464" width="12" style="41" customWidth="1"/>
    <col min="8465" max="8465" width="12.140625" style="41" customWidth="1"/>
    <col min="8466" max="8466" width="11.7109375" style="41" customWidth="1"/>
    <col min="8467" max="8467" width="12" style="41" customWidth="1"/>
    <col min="8468" max="8468" width="12.28515625" style="41" customWidth="1"/>
    <col min="8469" max="8469" width="12.85546875" style="41" customWidth="1"/>
    <col min="8470" max="8470" width="17.140625" style="41" customWidth="1"/>
    <col min="8471" max="8472" width="13.28515625" style="41" customWidth="1"/>
    <col min="8473" max="8473" width="13.85546875" style="41" customWidth="1"/>
    <col min="8474" max="8474" width="16.85546875" style="41" customWidth="1"/>
    <col min="8475" max="8475" width="13.28515625" style="41" customWidth="1"/>
    <col min="8476" max="8476" width="13.42578125" style="41" customWidth="1"/>
    <col min="8477" max="8477" width="14.5703125" style="41" customWidth="1"/>
    <col min="8478" max="8478" width="14.7109375" style="41" customWidth="1"/>
    <col min="8479" max="8479" width="13.7109375" style="41" customWidth="1"/>
    <col min="8480" max="8480" width="51.28515625" style="41" customWidth="1"/>
    <col min="8481" max="8486" width="9.140625" style="41"/>
    <col min="8487" max="8487" width="0" style="41" hidden="1" customWidth="1"/>
    <col min="8488" max="8704" width="9.140625" style="41"/>
    <col min="8705" max="8705" width="3.5703125" style="41" bestFit="1" customWidth="1"/>
    <col min="8706" max="8708" width="2.28515625" style="41" customWidth="1"/>
    <col min="8709" max="8709" width="56" style="41" bestFit="1" customWidth="1"/>
    <col min="8710" max="8710" width="2.7109375" style="41" customWidth="1"/>
    <col min="8711" max="8711" width="16.7109375" style="41" bestFit="1" customWidth="1"/>
    <col min="8712" max="8712" width="2.7109375" style="41" customWidth="1"/>
    <col min="8713" max="8713" width="12.7109375" style="41" customWidth="1"/>
    <col min="8714" max="8714" width="12.5703125" style="41" customWidth="1"/>
    <col min="8715" max="8715" width="12.28515625" style="41" customWidth="1"/>
    <col min="8716" max="8716" width="11.7109375" style="41" customWidth="1"/>
    <col min="8717" max="8717" width="12.140625" style="41" customWidth="1"/>
    <col min="8718" max="8718" width="12.28515625" style="41" customWidth="1"/>
    <col min="8719" max="8719" width="11.7109375" style="41" customWidth="1"/>
    <col min="8720" max="8720" width="12" style="41" customWidth="1"/>
    <col min="8721" max="8721" width="12.140625" style="41" customWidth="1"/>
    <col min="8722" max="8722" width="11.7109375" style="41" customWidth="1"/>
    <col min="8723" max="8723" width="12" style="41" customWidth="1"/>
    <col min="8724" max="8724" width="12.28515625" style="41" customWidth="1"/>
    <col min="8725" max="8725" width="12.85546875" style="41" customWidth="1"/>
    <col min="8726" max="8726" width="17.140625" style="41" customWidth="1"/>
    <col min="8727" max="8728" width="13.28515625" style="41" customWidth="1"/>
    <col min="8729" max="8729" width="13.85546875" style="41" customWidth="1"/>
    <col min="8730" max="8730" width="16.85546875" style="41" customWidth="1"/>
    <col min="8731" max="8731" width="13.28515625" style="41" customWidth="1"/>
    <col min="8732" max="8732" width="13.42578125" style="41" customWidth="1"/>
    <col min="8733" max="8733" width="14.5703125" style="41" customWidth="1"/>
    <col min="8734" max="8734" width="14.7109375" style="41" customWidth="1"/>
    <col min="8735" max="8735" width="13.7109375" style="41" customWidth="1"/>
    <col min="8736" max="8736" width="51.28515625" style="41" customWidth="1"/>
    <col min="8737" max="8742" width="9.140625" style="41"/>
    <col min="8743" max="8743" width="0" style="41" hidden="1" customWidth="1"/>
    <col min="8744" max="8960" width="9.140625" style="41"/>
    <col min="8961" max="8961" width="3.5703125" style="41" bestFit="1" customWidth="1"/>
    <col min="8962" max="8964" width="2.28515625" style="41" customWidth="1"/>
    <col min="8965" max="8965" width="56" style="41" bestFit="1" customWidth="1"/>
    <col min="8966" max="8966" width="2.7109375" style="41" customWidth="1"/>
    <col min="8967" max="8967" width="16.7109375" style="41" bestFit="1" customWidth="1"/>
    <col min="8968" max="8968" width="2.7109375" style="41" customWidth="1"/>
    <col min="8969" max="8969" width="12.7109375" style="41" customWidth="1"/>
    <col min="8970" max="8970" width="12.5703125" style="41" customWidth="1"/>
    <col min="8971" max="8971" width="12.28515625" style="41" customWidth="1"/>
    <col min="8972" max="8972" width="11.7109375" style="41" customWidth="1"/>
    <col min="8973" max="8973" width="12.140625" style="41" customWidth="1"/>
    <col min="8974" max="8974" width="12.28515625" style="41" customWidth="1"/>
    <col min="8975" max="8975" width="11.7109375" style="41" customWidth="1"/>
    <col min="8976" max="8976" width="12" style="41" customWidth="1"/>
    <col min="8977" max="8977" width="12.140625" style="41" customWidth="1"/>
    <col min="8978" max="8978" width="11.7109375" style="41" customWidth="1"/>
    <col min="8979" max="8979" width="12" style="41" customWidth="1"/>
    <col min="8980" max="8980" width="12.28515625" style="41" customWidth="1"/>
    <col min="8981" max="8981" width="12.85546875" style="41" customWidth="1"/>
    <col min="8982" max="8982" width="17.140625" style="41" customWidth="1"/>
    <col min="8983" max="8984" width="13.28515625" style="41" customWidth="1"/>
    <col min="8985" max="8985" width="13.85546875" style="41" customWidth="1"/>
    <col min="8986" max="8986" width="16.85546875" style="41" customWidth="1"/>
    <col min="8987" max="8987" width="13.28515625" style="41" customWidth="1"/>
    <col min="8988" max="8988" width="13.42578125" style="41" customWidth="1"/>
    <col min="8989" max="8989" width="14.5703125" style="41" customWidth="1"/>
    <col min="8990" max="8990" width="14.7109375" style="41" customWidth="1"/>
    <col min="8991" max="8991" width="13.7109375" style="41" customWidth="1"/>
    <col min="8992" max="8992" width="51.28515625" style="41" customWidth="1"/>
    <col min="8993" max="8998" width="9.140625" style="41"/>
    <col min="8999" max="8999" width="0" style="41" hidden="1" customWidth="1"/>
    <col min="9000" max="9216" width="9.140625" style="41"/>
    <col min="9217" max="9217" width="3.5703125" style="41" bestFit="1" customWidth="1"/>
    <col min="9218" max="9220" width="2.28515625" style="41" customWidth="1"/>
    <col min="9221" max="9221" width="56" style="41" bestFit="1" customWidth="1"/>
    <col min="9222" max="9222" width="2.7109375" style="41" customWidth="1"/>
    <col min="9223" max="9223" width="16.7109375" style="41" bestFit="1" customWidth="1"/>
    <col min="9224" max="9224" width="2.7109375" style="41" customWidth="1"/>
    <col min="9225" max="9225" width="12.7109375" style="41" customWidth="1"/>
    <col min="9226" max="9226" width="12.5703125" style="41" customWidth="1"/>
    <col min="9227" max="9227" width="12.28515625" style="41" customWidth="1"/>
    <col min="9228" max="9228" width="11.7109375" style="41" customWidth="1"/>
    <col min="9229" max="9229" width="12.140625" style="41" customWidth="1"/>
    <col min="9230" max="9230" width="12.28515625" style="41" customWidth="1"/>
    <col min="9231" max="9231" width="11.7109375" style="41" customWidth="1"/>
    <col min="9232" max="9232" width="12" style="41" customWidth="1"/>
    <col min="9233" max="9233" width="12.140625" style="41" customWidth="1"/>
    <col min="9234" max="9234" width="11.7109375" style="41" customWidth="1"/>
    <col min="9235" max="9235" width="12" style="41" customWidth="1"/>
    <col min="9236" max="9236" width="12.28515625" style="41" customWidth="1"/>
    <col min="9237" max="9237" width="12.85546875" style="41" customWidth="1"/>
    <col min="9238" max="9238" width="17.140625" style="41" customWidth="1"/>
    <col min="9239" max="9240" width="13.28515625" style="41" customWidth="1"/>
    <col min="9241" max="9241" width="13.85546875" style="41" customWidth="1"/>
    <col min="9242" max="9242" width="16.85546875" style="41" customWidth="1"/>
    <col min="9243" max="9243" width="13.28515625" style="41" customWidth="1"/>
    <col min="9244" max="9244" width="13.42578125" style="41" customWidth="1"/>
    <col min="9245" max="9245" width="14.5703125" style="41" customWidth="1"/>
    <col min="9246" max="9246" width="14.7109375" style="41" customWidth="1"/>
    <col min="9247" max="9247" width="13.7109375" style="41" customWidth="1"/>
    <col min="9248" max="9248" width="51.28515625" style="41" customWidth="1"/>
    <col min="9249" max="9254" width="9.140625" style="41"/>
    <col min="9255" max="9255" width="0" style="41" hidden="1" customWidth="1"/>
    <col min="9256" max="9472" width="9.140625" style="41"/>
    <col min="9473" max="9473" width="3.5703125" style="41" bestFit="1" customWidth="1"/>
    <col min="9474" max="9476" width="2.28515625" style="41" customWidth="1"/>
    <col min="9477" max="9477" width="56" style="41" bestFit="1" customWidth="1"/>
    <col min="9478" max="9478" width="2.7109375" style="41" customWidth="1"/>
    <col min="9479" max="9479" width="16.7109375" style="41" bestFit="1" customWidth="1"/>
    <col min="9480" max="9480" width="2.7109375" style="41" customWidth="1"/>
    <col min="9481" max="9481" width="12.7109375" style="41" customWidth="1"/>
    <col min="9482" max="9482" width="12.5703125" style="41" customWidth="1"/>
    <col min="9483" max="9483" width="12.28515625" style="41" customWidth="1"/>
    <col min="9484" max="9484" width="11.7109375" style="41" customWidth="1"/>
    <col min="9485" max="9485" width="12.140625" style="41" customWidth="1"/>
    <col min="9486" max="9486" width="12.28515625" style="41" customWidth="1"/>
    <col min="9487" max="9487" width="11.7109375" style="41" customWidth="1"/>
    <col min="9488" max="9488" width="12" style="41" customWidth="1"/>
    <col min="9489" max="9489" width="12.140625" style="41" customWidth="1"/>
    <col min="9490" max="9490" width="11.7109375" style="41" customWidth="1"/>
    <col min="9491" max="9491" width="12" style="41" customWidth="1"/>
    <col min="9492" max="9492" width="12.28515625" style="41" customWidth="1"/>
    <col min="9493" max="9493" width="12.85546875" style="41" customWidth="1"/>
    <col min="9494" max="9494" width="17.140625" style="41" customWidth="1"/>
    <col min="9495" max="9496" width="13.28515625" style="41" customWidth="1"/>
    <col min="9497" max="9497" width="13.85546875" style="41" customWidth="1"/>
    <col min="9498" max="9498" width="16.85546875" style="41" customWidth="1"/>
    <col min="9499" max="9499" width="13.28515625" style="41" customWidth="1"/>
    <col min="9500" max="9500" width="13.42578125" style="41" customWidth="1"/>
    <col min="9501" max="9501" width="14.5703125" style="41" customWidth="1"/>
    <col min="9502" max="9502" width="14.7109375" style="41" customWidth="1"/>
    <col min="9503" max="9503" width="13.7109375" style="41" customWidth="1"/>
    <col min="9504" max="9504" width="51.28515625" style="41" customWidth="1"/>
    <col min="9505" max="9510" width="9.140625" style="41"/>
    <col min="9511" max="9511" width="0" style="41" hidden="1" customWidth="1"/>
    <col min="9512" max="9728" width="9.140625" style="41"/>
    <col min="9729" max="9729" width="3.5703125" style="41" bestFit="1" customWidth="1"/>
    <col min="9730" max="9732" width="2.28515625" style="41" customWidth="1"/>
    <col min="9733" max="9733" width="56" style="41" bestFit="1" customWidth="1"/>
    <col min="9734" max="9734" width="2.7109375" style="41" customWidth="1"/>
    <col min="9735" max="9735" width="16.7109375" style="41" bestFit="1" customWidth="1"/>
    <col min="9736" max="9736" width="2.7109375" style="41" customWidth="1"/>
    <col min="9737" max="9737" width="12.7109375" style="41" customWidth="1"/>
    <col min="9738" max="9738" width="12.5703125" style="41" customWidth="1"/>
    <col min="9739" max="9739" width="12.28515625" style="41" customWidth="1"/>
    <col min="9740" max="9740" width="11.7109375" style="41" customWidth="1"/>
    <col min="9741" max="9741" width="12.140625" style="41" customWidth="1"/>
    <col min="9742" max="9742" width="12.28515625" style="41" customWidth="1"/>
    <col min="9743" max="9743" width="11.7109375" style="41" customWidth="1"/>
    <col min="9744" max="9744" width="12" style="41" customWidth="1"/>
    <col min="9745" max="9745" width="12.140625" style="41" customWidth="1"/>
    <col min="9746" max="9746" width="11.7109375" style="41" customWidth="1"/>
    <col min="9747" max="9747" width="12" style="41" customWidth="1"/>
    <col min="9748" max="9748" width="12.28515625" style="41" customWidth="1"/>
    <col min="9749" max="9749" width="12.85546875" style="41" customWidth="1"/>
    <col min="9750" max="9750" width="17.140625" style="41" customWidth="1"/>
    <col min="9751" max="9752" width="13.28515625" style="41" customWidth="1"/>
    <col min="9753" max="9753" width="13.85546875" style="41" customWidth="1"/>
    <col min="9754" max="9754" width="16.85546875" style="41" customWidth="1"/>
    <col min="9755" max="9755" width="13.28515625" style="41" customWidth="1"/>
    <col min="9756" max="9756" width="13.42578125" style="41" customWidth="1"/>
    <col min="9757" max="9757" width="14.5703125" style="41" customWidth="1"/>
    <col min="9758" max="9758" width="14.7109375" style="41" customWidth="1"/>
    <col min="9759" max="9759" width="13.7109375" style="41" customWidth="1"/>
    <col min="9760" max="9760" width="51.28515625" style="41" customWidth="1"/>
    <col min="9761" max="9766" width="9.140625" style="41"/>
    <col min="9767" max="9767" width="0" style="41" hidden="1" customWidth="1"/>
    <col min="9768" max="9984" width="9.140625" style="41"/>
    <col min="9985" max="9985" width="3.5703125" style="41" bestFit="1" customWidth="1"/>
    <col min="9986" max="9988" width="2.28515625" style="41" customWidth="1"/>
    <col min="9989" max="9989" width="56" style="41" bestFit="1" customWidth="1"/>
    <col min="9990" max="9990" width="2.7109375" style="41" customWidth="1"/>
    <col min="9991" max="9991" width="16.7109375" style="41" bestFit="1" customWidth="1"/>
    <col min="9992" max="9992" width="2.7109375" style="41" customWidth="1"/>
    <col min="9993" max="9993" width="12.7109375" style="41" customWidth="1"/>
    <col min="9994" max="9994" width="12.5703125" style="41" customWidth="1"/>
    <col min="9995" max="9995" width="12.28515625" style="41" customWidth="1"/>
    <col min="9996" max="9996" width="11.7109375" style="41" customWidth="1"/>
    <col min="9997" max="9997" width="12.140625" style="41" customWidth="1"/>
    <col min="9998" max="9998" width="12.28515625" style="41" customWidth="1"/>
    <col min="9999" max="9999" width="11.7109375" style="41" customWidth="1"/>
    <col min="10000" max="10000" width="12" style="41" customWidth="1"/>
    <col min="10001" max="10001" width="12.140625" style="41" customWidth="1"/>
    <col min="10002" max="10002" width="11.7109375" style="41" customWidth="1"/>
    <col min="10003" max="10003" width="12" style="41" customWidth="1"/>
    <col min="10004" max="10004" width="12.28515625" style="41" customWidth="1"/>
    <col min="10005" max="10005" width="12.85546875" style="41" customWidth="1"/>
    <col min="10006" max="10006" width="17.140625" style="41" customWidth="1"/>
    <col min="10007" max="10008" width="13.28515625" style="41" customWidth="1"/>
    <col min="10009" max="10009" width="13.85546875" style="41" customWidth="1"/>
    <col min="10010" max="10010" width="16.85546875" style="41" customWidth="1"/>
    <col min="10011" max="10011" width="13.28515625" style="41" customWidth="1"/>
    <col min="10012" max="10012" width="13.42578125" style="41" customWidth="1"/>
    <col min="10013" max="10013" width="14.5703125" style="41" customWidth="1"/>
    <col min="10014" max="10014" width="14.7109375" style="41" customWidth="1"/>
    <col min="10015" max="10015" width="13.7109375" style="41" customWidth="1"/>
    <col min="10016" max="10016" width="51.28515625" style="41" customWidth="1"/>
    <col min="10017" max="10022" width="9.140625" style="41"/>
    <col min="10023" max="10023" width="0" style="41" hidden="1" customWidth="1"/>
    <col min="10024" max="10240" width="9.140625" style="41"/>
    <col min="10241" max="10241" width="3.5703125" style="41" bestFit="1" customWidth="1"/>
    <col min="10242" max="10244" width="2.28515625" style="41" customWidth="1"/>
    <col min="10245" max="10245" width="56" style="41" bestFit="1" customWidth="1"/>
    <col min="10246" max="10246" width="2.7109375" style="41" customWidth="1"/>
    <col min="10247" max="10247" width="16.7109375" style="41" bestFit="1" customWidth="1"/>
    <col min="10248" max="10248" width="2.7109375" style="41" customWidth="1"/>
    <col min="10249" max="10249" width="12.7109375" style="41" customWidth="1"/>
    <col min="10250" max="10250" width="12.5703125" style="41" customWidth="1"/>
    <col min="10251" max="10251" width="12.28515625" style="41" customWidth="1"/>
    <col min="10252" max="10252" width="11.7109375" style="41" customWidth="1"/>
    <col min="10253" max="10253" width="12.140625" style="41" customWidth="1"/>
    <col min="10254" max="10254" width="12.28515625" style="41" customWidth="1"/>
    <col min="10255" max="10255" width="11.7109375" style="41" customWidth="1"/>
    <col min="10256" max="10256" width="12" style="41" customWidth="1"/>
    <col min="10257" max="10257" width="12.140625" style="41" customWidth="1"/>
    <col min="10258" max="10258" width="11.7109375" style="41" customWidth="1"/>
    <col min="10259" max="10259" width="12" style="41" customWidth="1"/>
    <col min="10260" max="10260" width="12.28515625" style="41" customWidth="1"/>
    <col min="10261" max="10261" width="12.85546875" style="41" customWidth="1"/>
    <col min="10262" max="10262" width="17.140625" style="41" customWidth="1"/>
    <col min="10263" max="10264" width="13.28515625" style="41" customWidth="1"/>
    <col min="10265" max="10265" width="13.85546875" style="41" customWidth="1"/>
    <col min="10266" max="10266" width="16.85546875" style="41" customWidth="1"/>
    <col min="10267" max="10267" width="13.28515625" style="41" customWidth="1"/>
    <col min="10268" max="10268" width="13.42578125" style="41" customWidth="1"/>
    <col min="10269" max="10269" width="14.5703125" style="41" customWidth="1"/>
    <col min="10270" max="10270" width="14.7109375" style="41" customWidth="1"/>
    <col min="10271" max="10271" width="13.7109375" style="41" customWidth="1"/>
    <col min="10272" max="10272" width="51.28515625" style="41" customWidth="1"/>
    <col min="10273" max="10278" width="9.140625" style="41"/>
    <col min="10279" max="10279" width="0" style="41" hidden="1" customWidth="1"/>
    <col min="10280" max="10496" width="9.140625" style="41"/>
    <col min="10497" max="10497" width="3.5703125" style="41" bestFit="1" customWidth="1"/>
    <col min="10498" max="10500" width="2.28515625" style="41" customWidth="1"/>
    <col min="10501" max="10501" width="56" style="41" bestFit="1" customWidth="1"/>
    <col min="10502" max="10502" width="2.7109375" style="41" customWidth="1"/>
    <col min="10503" max="10503" width="16.7109375" style="41" bestFit="1" customWidth="1"/>
    <col min="10504" max="10504" width="2.7109375" style="41" customWidth="1"/>
    <col min="10505" max="10505" width="12.7109375" style="41" customWidth="1"/>
    <col min="10506" max="10506" width="12.5703125" style="41" customWidth="1"/>
    <col min="10507" max="10507" width="12.28515625" style="41" customWidth="1"/>
    <col min="10508" max="10508" width="11.7109375" style="41" customWidth="1"/>
    <col min="10509" max="10509" width="12.140625" style="41" customWidth="1"/>
    <col min="10510" max="10510" width="12.28515625" style="41" customWidth="1"/>
    <col min="10511" max="10511" width="11.7109375" style="41" customWidth="1"/>
    <col min="10512" max="10512" width="12" style="41" customWidth="1"/>
    <col min="10513" max="10513" width="12.140625" style="41" customWidth="1"/>
    <col min="10514" max="10514" width="11.7109375" style="41" customWidth="1"/>
    <col min="10515" max="10515" width="12" style="41" customWidth="1"/>
    <col min="10516" max="10516" width="12.28515625" style="41" customWidth="1"/>
    <col min="10517" max="10517" width="12.85546875" style="41" customWidth="1"/>
    <col min="10518" max="10518" width="17.140625" style="41" customWidth="1"/>
    <col min="10519" max="10520" width="13.28515625" style="41" customWidth="1"/>
    <col min="10521" max="10521" width="13.85546875" style="41" customWidth="1"/>
    <col min="10522" max="10522" width="16.85546875" style="41" customWidth="1"/>
    <col min="10523" max="10523" width="13.28515625" style="41" customWidth="1"/>
    <col min="10524" max="10524" width="13.42578125" style="41" customWidth="1"/>
    <col min="10525" max="10525" width="14.5703125" style="41" customWidth="1"/>
    <col min="10526" max="10526" width="14.7109375" style="41" customWidth="1"/>
    <col min="10527" max="10527" width="13.7109375" style="41" customWidth="1"/>
    <col min="10528" max="10528" width="51.28515625" style="41" customWidth="1"/>
    <col min="10529" max="10534" width="9.140625" style="41"/>
    <col min="10535" max="10535" width="0" style="41" hidden="1" customWidth="1"/>
    <col min="10536" max="10752" width="9.140625" style="41"/>
    <col min="10753" max="10753" width="3.5703125" style="41" bestFit="1" customWidth="1"/>
    <col min="10754" max="10756" width="2.28515625" style="41" customWidth="1"/>
    <col min="10757" max="10757" width="56" style="41" bestFit="1" customWidth="1"/>
    <col min="10758" max="10758" width="2.7109375" style="41" customWidth="1"/>
    <col min="10759" max="10759" width="16.7109375" style="41" bestFit="1" customWidth="1"/>
    <col min="10760" max="10760" width="2.7109375" style="41" customWidth="1"/>
    <col min="10761" max="10761" width="12.7109375" style="41" customWidth="1"/>
    <col min="10762" max="10762" width="12.5703125" style="41" customWidth="1"/>
    <col min="10763" max="10763" width="12.28515625" style="41" customWidth="1"/>
    <col min="10764" max="10764" width="11.7109375" style="41" customWidth="1"/>
    <col min="10765" max="10765" width="12.140625" style="41" customWidth="1"/>
    <col min="10766" max="10766" width="12.28515625" style="41" customWidth="1"/>
    <col min="10767" max="10767" width="11.7109375" style="41" customWidth="1"/>
    <col min="10768" max="10768" width="12" style="41" customWidth="1"/>
    <col min="10769" max="10769" width="12.140625" style="41" customWidth="1"/>
    <col min="10770" max="10770" width="11.7109375" style="41" customWidth="1"/>
    <col min="10771" max="10771" width="12" style="41" customWidth="1"/>
    <col min="10772" max="10772" width="12.28515625" style="41" customWidth="1"/>
    <col min="10773" max="10773" width="12.85546875" style="41" customWidth="1"/>
    <col min="10774" max="10774" width="17.140625" style="41" customWidth="1"/>
    <col min="10775" max="10776" width="13.28515625" style="41" customWidth="1"/>
    <col min="10777" max="10777" width="13.85546875" style="41" customWidth="1"/>
    <col min="10778" max="10778" width="16.85546875" style="41" customWidth="1"/>
    <col min="10779" max="10779" width="13.28515625" style="41" customWidth="1"/>
    <col min="10780" max="10780" width="13.42578125" style="41" customWidth="1"/>
    <col min="10781" max="10781" width="14.5703125" style="41" customWidth="1"/>
    <col min="10782" max="10782" width="14.7109375" style="41" customWidth="1"/>
    <col min="10783" max="10783" width="13.7109375" style="41" customWidth="1"/>
    <col min="10784" max="10784" width="51.28515625" style="41" customWidth="1"/>
    <col min="10785" max="10790" width="9.140625" style="41"/>
    <col min="10791" max="10791" width="0" style="41" hidden="1" customWidth="1"/>
    <col min="10792" max="11008" width="9.140625" style="41"/>
    <col min="11009" max="11009" width="3.5703125" style="41" bestFit="1" customWidth="1"/>
    <col min="11010" max="11012" width="2.28515625" style="41" customWidth="1"/>
    <col min="11013" max="11013" width="56" style="41" bestFit="1" customWidth="1"/>
    <col min="11014" max="11014" width="2.7109375" style="41" customWidth="1"/>
    <col min="11015" max="11015" width="16.7109375" style="41" bestFit="1" customWidth="1"/>
    <col min="11016" max="11016" width="2.7109375" style="41" customWidth="1"/>
    <col min="11017" max="11017" width="12.7109375" style="41" customWidth="1"/>
    <col min="11018" max="11018" width="12.5703125" style="41" customWidth="1"/>
    <col min="11019" max="11019" width="12.28515625" style="41" customWidth="1"/>
    <col min="11020" max="11020" width="11.7109375" style="41" customWidth="1"/>
    <col min="11021" max="11021" width="12.140625" style="41" customWidth="1"/>
    <col min="11022" max="11022" width="12.28515625" style="41" customWidth="1"/>
    <col min="11023" max="11023" width="11.7109375" style="41" customWidth="1"/>
    <col min="11024" max="11024" width="12" style="41" customWidth="1"/>
    <col min="11025" max="11025" width="12.140625" style="41" customWidth="1"/>
    <col min="11026" max="11026" width="11.7109375" style="41" customWidth="1"/>
    <col min="11027" max="11027" width="12" style="41" customWidth="1"/>
    <col min="11028" max="11028" width="12.28515625" style="41" customWidth="1"/>
    <col min="11029" max="11029" width="12.85546875" style="41" customWidth="1"/>
    <col min="11030" max="11030" width="17.140625" style="41" customWidth="1"/>
    <col min="11031" max="11032" width="13.28515625" style="41" customWidth="1"/>
    <col min="11033" max="11033" width="13.85546875" style="41" customWidth="1"/>
    <col min="11034" max="11034" width="16.85546875" style="41" customWidth="1"/>
    <col min="11035" max="11035" width="13.28515625" style="41" customWidth="1"/>
    <col min="11036" max="11036" width="13.42578125" style="41" customWidth="1"/>
    <col min="11037" max="11037" width="14.5703125" style="41" customWidth="1"/>
    <col min="11038" max="11038" width="14.7109375" style="41" customWidth="1"/>
    <col min="11039" max="11039" width="13.7109375" style="41" customWidth="1"/>
    <col min="11040" max="11040" width="51.28515625" style="41" customWidth="1"/>
    <col min="11041" max="11046" width="9.140625" style="41"/>
    <col min="11047" max="11047" width="0" style="41" hidden="1" customWidth="1"/>
    <col min="11048" max="11264" width="9.140625" style="41"/>
    <col min="11265" max="11265" width="3.5703125" style="41" bestFit="1" customWidth="1"/>
    <col min="11266" max="11268" width="2.28515625" style="41" customWidth="1"/>
    <col min="11269" max="11269" width="56" style="41" bestFit="1" customWidth="1"/>
    <col min="11270" max="11270" width="2.7109375" style="41" customWidth="1"/>
    <col min="11271" max="11271" width="16.7109375" style="41" bestFit="1" customWidth="1"/>
    <col min="11272" max="11272" width="2.7109375" style="41" customWidth="1"/>
    <col min="11273" max="11273" width="12.7109375" style="41" customWidth="1"/>
    <col min="11274" max="11274" width="12.5703125" style="41" customWidth="1"/>
    <col min="11275" max="11275" width="12.28515625" style="41" customWidth="1"/>
    <col min="11276" max="11276" width="11.7109375" style="41" customWidth="1"/>
    <col min="11277" max="11277" width="12.140625" style="41" customWidth="1"/>
    <col min="11278" max="11278" width="12.28515625" style="41" customWidth="1"/>
    <col min="11279" max="11279" width="11.7109375" style="41" customWidth="1"/>
    <col min="11280" max="11280" width="12" style="41" customWidth="1"/>
    <col min="11281" max="11281" width="12.140625" style="41" customWidth="1"/>
    <col min="11282" max="11282" width="11.7109375" style="41" customWidth="1"/>
    <col min="11283" max="11283" width="12" style="41" customWidth="1"/>
    <col min="11284" max="11284" width="12.28515625" style="41" customWidth="1"/>
    <col min="11285" max="11285" width="12.85546875" style="41" customWidth="1"/>
    <col min="11286" max="11286" width="17.140625" style="41" customWidth="1"/>
    <col min="11287" max="11288" width="13.28515625" style="41" customWidth="1"/>
    <col min="11289" max="11289" width="13.85546875" style="41" customWidth="1"/>
    <col min="11290" max="11290" width="16.85546875" style="41" customWidth="1"/>
    <col min="11291" max="11291" width="13.28515625" style="41" customWidth="1"/>
    <col min="11292" max="11292" width="13.42578125" style="41" customWidth="1"/>
    <col min="11293" max="11293" width="14.5703125" style="41" customWidth="1"/>
    <col min="11294" max="11294" width="14.7109375" style="41" customWidth="1"/>
    <col min="11295" max="11295" width="13.7109375" style="41" customWidth="1"/>
    <col min="11296" max="11296" width="51.28515625" style="41" customWidth="1"/>
    <col min="11297" max="11302" width="9.140625" style="41"/>
    <col min="11303" max="11303" width="0" style="41" hidden="1" customWidth="1"/>
    <col min="11304" max="11520" width="9.140625" style="41"/>
    <col min="11521" max="11521" width="3.5703125" style="41" bestFit="1" customWidth="1"/>
    <col min="11522" max="11524" width="2.28515625" style="41" customWidth="1"/>
    <col min="11525" max="11525" width="56" style="41" bestFit="1" customWidth="1"/>
    <col min="11526" max="11526" width="2.7109375" style="41" customWidth="1"/>
    <col min="11527" max="11527" width="16.7109375" style="41" bestFit="1" customWidth="1"/>
    <col min="11528" max="11528" width="2.7109375" style="41" customWidth="1"/>
    <col min="11529" max="11529" width="12.7109375" style="41" customWidth="1"/>
    <col min="11530" max="11530" width="12.5703125" style="41" customWidth="1"/>
    <col min="11531" max="11531" width="12.28515625" style="41" customWidth="1"/>
    <col min="11532" max="11532" width="11.7109375" style="41" customWidth="1"/>
    <col min="11533" max="11533" width="12.140625" style="41" customWidth="1"/>
    <col min="11534" max="11534" width="12.28515625" style="41" customWidth="1"/>
    <col min="11535" max="11535" width="11.7109375" style="41" customWidth="1"/>
    <col min="11536" max="11536" width="12" style="41" customWidth="1"/>
    <col min="11537" max="11537" width="12.140625" style="41" customWidth="1"/>
    <col min="11538" max="11538" width="11.7109375" style="41" customWidth="1"/>
    <col min="11539" max="11539" width="12" style="41" customWidth="1"/>
    <col min="11540" max="11540" width="12.28515625" style="41" customWidth="1"/>
    <col min="11541" max="11541" width="12.85546875" style="41" customWidth="1"/>
    <col min="11542" max="11542" width="17.140625" style="41" customWidth="1"/>
    <col min="11543" max="11544" width="13.28515625" style="41" customWidth="1"/>
    <col min="11545" max="11545" width="13.85546875" style="41" customWidth="1"/>
    <col min="11546" max="11546" width="16.85546875" style="41" customWidth="1"/>
    <col min="11547" max="11547" width="13.28515625" style="41" customWidth="1"/>
    <col min="11548" max="11548" width="13.42578125" style="41" customWidth="1"/>
    <col min="11549" max="11549" width="14.5703125" style="41" customWidth="1"/>
    <col min="11550" max="11550" width="14.7109375" style="41" customWidth="1"/>
    <col min="11551" max="11551" width="13.7109375" style="41" customWidth="1"/>
    <col min="11552" max="11552" width="51.28515625" style="41" customWidth="1"/>
    <col min="11553" max="11558" width="9.140625" style="41"/>
    <col min="11559" max="11559" width="0" style="41" hidden="1" customWidth="1"/>
    <col min="11560" max="11776" width="9.140625" style="41"/>
    <col min="11777" max="11777" width="3.5703125" style="41" bestFit="1" customWidth="1"/>
    <col min="11778" max="11780" width="2.28515625" style="41" customWidth="1"/>
    <col min="11781" max="11781" width="56" style="41" bestFit="1" customWidth="1"/>
    <col min="11782" max="11782" width="2.7109375" style="41" customWidth="1"/>
    <col min="11783" max="11783" width="16.7109375" style="41" bestFit="1" customWidth="1"/>
    <col min="11784" max="11784" width="2.7109375" style="41" customWidth="1"/>
    <col min="11785" max="11785" width="12.7109375" style="41" customWidth="1"/>
    <col min="11786" max="11786" width="12.5703125" style="41" customWidth="1"/>
    <col min="11787" max="11787" width="12.28515625" style="41" customWidth="1"/>
    <col min="11788" max="11788" width="11.7109375" style="41" customWidth="1"/>
    <col min="11789" max="11789" width="12.140625" style="41" customWidth="1"/>
    <col min="11790" max="11790" width="12.28515625" style="41" customWidth="1"/>
    <col min="11791" max="11791" width="11.7109375" style="41" customWidth="1"/>
    <col min="11792" max="11792" width="12" style="41" customWidth="1"/>
    <col min="11793" max="11793" width="12.140625" style="41" customWidth="1"/>
    <col min="11794" max="11794" width="11.7109375" style="41" customWidth="1"/>
    <col min="11795" max="11795" width="12" style="41" customWidth="1"/>
    <col min="11796" max="11796" width="12.28515625" style="41" customWidth="1"/>
    <col min="11797" max="11797" width="12.85546875" style="41" customWidth="1"/>
    <col min="11798" max="11798" width="17.140625" style="41" customWidth="1"/>
    <col min="11799" max="11800" width="13.28515625" style="41" customWidth="1"/>
    <col min="11801" max="11801" width="13.85546875" style="41" customWidth="1"/>
    <col min="11802" max="11802" width="16.85546875" style="41" customWidth="1"/>
    <col min="11803" max="11803" width="13.28515625" style="41" customWidth="1"/>
    <col min="11804" max="11804" width="13.42578125" style="41" customWidth="1"/>
    <col min="11805" max="11805" width="14.5703125" style="41" customWidth="1"/>
    <col min="11806" max="11806" width="14.7109375" style="41" customWidth="1"/>
    <col min="11807" max="11807" width="13.7109375" style="41" customWidth="1"/>
    <col min="11808" max="11808" width="51.28515625" style="41" customWidth="1"/>
    <col min="11809" max="11814" width="9.140625" style="41"/>
    <col min="11815" max="11815" width="0" style="41" hidden="1" customWidth="1"/>
    <col min="11816" max="12032" width="9.140625" style="41"/>
    <col min="12033" max="12033" width="3.5703125" style="41" bestFit="1" customWidth="1"/>
    <col min="12034" max="12036" width="2.28515625" style="41" customWidth="1"/>
    <col min="12037" max="12037" width="56" style="41" bestFit="1" customWidth="1"/>
    <col min="12038" max="12038" width="2.7109375" style="41" customWidth="1"/>
    <col min="12039" max="12039" width="16.7109375" style="41" bestFit="1" customWidth="1"/>
    <col min="12040" max="12040" width="2.7109375" style="41" customWidth="1"/>
    <col min="12041" max="12041" width="12.7109375" style="41" customWidth="1"/>
    <col min="12042" max="12042" width="12.5703125" style="41" customWidth="1"/>
    <col min="12043" max="12043" width="12.28515625" style="41" customWidth="1"/>
    <col min="12044" max="12044" width="11.7109375" style="41" customWidth="1"/>
    <col min="12045" max="12045" width="12.140625" style="41" customWidth="1"/>
    <col min="12046" max="12046" width="12.28515625" style="41" customWidth="1"/>
    <col min="12047" max="12047" width="11.7109375" style="41" customWidth="1"/>
    <col min="12048" max="12048" width="12" style="41" customWidth="1"/>
    <col min="12049" max="12049" width="12.140625" style="41" customWidth="1"/>
    <col min="12050" max="12050" width="11.7109375" style="41" customWidth="1"/>
    <col min="12051" max="12051" width="12" style="41" customWidth="1"/>
    <col min="12052" max="12052" width="12.28515625" style="41" customWidth="1"/>
    <col min="12053" max="12053" width="12.85546875" style="41" customWidth="1"/>
    <col min="12054" max="12054" width="17.140625" style="41" customWidth="1"/>
    <col min="12055" max="12056" width="13.28515625" style="41" customWidth="1"/>
    <col min="12057" max="12057" width="13.85546875" style="41" customWidth="1"/>
    <col min="12058" max="12058" width="16.85546875" style="41" customWidth="1"/>
    <col min="12059" max="12059" width="13.28515625" style="41" customWidth="1"/>
    <col min="12060" max="12060" width="13.42578125" style="41" customWidth="1"/>
    <col min="12061" max="12061" width="14.5703125" style="41" customWidth="1"/>
    <col min="12062" max="12062" width="14.7109375" style="41" customWidth="1"/>
    <col min="12063" max="12063" width="13.7109375" style="41" customWidth="1"/>
    <col min="12064" max="12064" width="51.28515625" style="41" customWidth="1"/>
    <col min="12065" max="12070" width="9.140625" style="41"/>
    <col min="12071" max="12071" width="0" style="41" hidden="1" customWidth="1"/>
    <col min="12072" max="12288" width="9.140625" style="41"/>
    <col min="12289" max="12289" width="3.5703125" style="41" bestFit="1" customWidth="1"/>
    <col min="12290" max="12292" width="2.28515625" style="41" customWidth="1"/>
    <col min="12293" max="12293" width="56" style="41" bestFit="1" customWidth="1"/>
    <col min="12294" max="12294" width="2.7109375" style="41" customWidth="1"/>
    <col min="12295" max="12295" width="16.7109375" style="41" bestFit="1" customWidth="1"/>
    <col min="12296" max="12296" width="2.7109375" style="41" customWidth="1"/>
    <col min="12297" max="12297" width="12.7109375" style="41" customWidth="1"/>
    <col min="12298" max="12298" width="12.5703125" style="41" customWidth="1"/>
    <col min="12299" max="12299" width="12.28515625" style="41" customWidth="1"/>
    <col min="12300" max="12300" width="11.7109375" style="41" customWidth="1"/>
    <col min="12301" max="12301" width="12.140625" style="41" customWidth="1"/>
    <col min="12302" max="12302" width="12.28515625" style="41" customWidth="1"/>
    <col min="12303" max="12303" width="11.7109375" style="41" customWidth="1"/>
    <col min="12304" max="12304" width="12" style="41" customWidth="1"/>
    <col min="12305" max="12305" width="12.140625" style="41" customWidth="1"/>
    <col min="12306" max="12306" width="11.7109375" style="41" customWidth="1"/>
    <col min="12307" max="12307" width="12" style="41" customWidth="1"/>
    <col min="12308" max="12308" width="12.28515625" style="41" customWidth="1"/>
    <col min="12309" max="12309" width="12.85546875" style="41" customWidth="1"/>
    <col min="12310" max="12310" width="17.140625" style="41" customWidth="1"/>
    <col min="12311" max="12312" width="13.28515625" style="41" customWidth="1"/>
    <col min="12313" max="12313" width="13.85546875" style="41" customWidth="1"/>
    <col min="12314" max="12314" width="16.85546875" style="41" customWidth="1"/>
    <col min="12315" max="12315" width="13.28515625" style="41" customWidth="1"/>
    <col min="12316" max="12316" width="13.42578125" style="41" customWidth="1"/>
    <col min="12317" max="12317" width="14.5703125" style="41" customWidth="1"/>
    <col min="12318" max="12318" width="14.7109375" style="41" customWidth="1"/>
    <col min="12319" max="12319" width="13.7109375" style="41" customWidth="1"/>
    <col min="12320" max="12320" width="51.28515625" style="41" customWidth="1"/>
    <col min="12321" max="12326" width="9.140625" style="41"/>
    <col min="12327" max="12327" width="0" style="41" hidden="1" customWidth="1"/>
    <col min="12328" max="12544" width="9.140625" style="41"/>
    <col min="12545" max="12545" width="3.5703125" style="41" bestFit="1" customWidth="1"/>
    <col min="12546" max="12548" width="2.28515625" style="41" customWidth="1"/>
    <col min="12549" max="12549" width="56" style="41" bestFit="1" customWidth="1"/>
    <col min="12550" max="12550" width="2.7109375" style="41" customWidth="1"/>
    <col min="12551" max="12551" width="16.7109375" style="41" bestFit="1" customWidth="1"/>
    <col min="12552" max="12552" width="2.7109375" style="41" customWidth="1"/>
    <col min="12553" max="12553" width="12.7109375" style="41" customWidth="1"/>
    <col min="12554" max="12554" width="12.5703125" style="41" customWidth="1"/>
    <col min="12555" max="12555" width="12.28515625" style="41" customWidth="1"/>
    <col min="12556" max="12556" width="11.7109375" style="41" customWidth="1"/>
    <col min="12557" max="12557" width="12.140625" style="41" customWidth="1"/>
    <col min="12558" max="12558" width="12.28515625" style="41" customWidth="1"/>
    <col min="12559" max="12559" width="11.7109375" style="41" customWidth="1"/>
    <col min="12560" max="12560" width="12" style="41" customWidth="1"/>
    <col min="12561" max="12561" width="12.140625" style="41" customWidth="1"/>
    <col min="12562" max="12562" width="11.7109375" style="41" customWidth="1"/>
    <col min="12563" max="12563" width="12" style="41" customWidth="1"/>
    <col min="12564" max="12564" width="12.28515625" style="41" customWidth="1"/>
    <col min="12565" max="12565" width="12.85546875" style="41" customWidth="1"/>
    <col min="12566" max="12566" width="17.140625" style="41" customWidth="1"/>
    <col min="12567" max="12568" width="13.28515625" style="41" customWidth="1"/>
    <col min="12569" max="12569" width="13.85546875" style="41" customWidth="1"/>
    <col min="12570" max="12570" width="16.85546875" style="41" customWidth="1"/>
    <col min="12571" max="12571" width="13.28515625" style="41" customWidth="1"/>
    <col min="12572" max="12572" width="13.42578125" style="41" customWidth="1"/>
    <col min="12573" max="12573" width="14.5703125" style="41" customWidth="1"/>
    <col min="12574" max="12574" width="14.7109375" style="41" customWidth="1"/>
    <col min="12575" max="12575" width="13.7109375" style="41" customWidth="1"/>
    <col min="12576" max="12576" width="51.28515625" style="41" customWidth="1"/>
    <col min="12577" max="12582" width="9.140625" style="41"/>
    <col min="12583" max="12583" width="0" style="41" hidden="1" customWidth="1"/>
    <col min="12584" max="12800" width="9.140625" style="41"/>
    <col min="12801" max="12801" width="3.5703125" style="41" bestFit="1" customWidth="1"/>
    <col min="12802" max="12804" width="2.28515625" style="41" customWidth="1"/>
    <col min="12805" max="12805" width="56" style="41" bestFit="1" customWidth="1"/>
    <col min="12806" max="12806" width="2.7109375" style="41" customWidth="1"/>
    <col min="12807" max="12807" width="16.7109375" style="41" bestFit="1" customWidth="1"/>
    <col min="12808" max="12808" width="2.7109375" style="41" customWidth="1"/>
    <col min="12809" max="12809" width="12.7109375" style="41" customWidth="1"/>
    <col min="12810" max="12810" width="12.5703125" style="41" customWidth="1"/>
    <col min="12811" max="12811" width="12.28515625" style="41" customWidth="1"/>
    <col min="12812" max="12812" width="11.7109375" style="41" customWidth="1"/>
    <col min="12813" max="12813" width="12.140625" style="41" customWidth="1"/>
    <col min="12814" max="12814" width="12.28515625" style="41" customWidth="1"/>
    <col min="12815" max="12815" width="11.7109375" style="41" customWidth="1"/>
    <col min="12816" max="12816" width="12" style="41" customWidth="1"/>
    <col min="12817" max="12817" width="12.140625" style="41" customWidth="1"/>
    <col min="12818" max="12818" width="11.7109375" style="41" customWidth="1"/>
    <col min="12819" max="12819" width="12" style="41" customWidth="1"/>
    <col min="12820" max="12820" width="12.28515625" style="41" customWidth="1"/>
    <col min="12821" max="12821" width="12.85546875" style="41" customWidth="1"/>
    <col min="12822" max="12822" width="17.140625" style="41" customWidth="1"/>
    <col min="12823" max="12824" width="13.28515625" style="41" customWidth="1"/>
    <col min="12825" max="12825" width="13.85546875" style="41" customWidth="1"/>
    <col min="12826" max="12826" width="16.85546875" style="41" customWidth="1"/>
    <col min="12827" max="12827" width="13.28515625" style="41" customWidth="1"/>
    <col min="12828" max="12828" width="13.42578125" style="41" customWidth="1"/>
    <col min="12829" max="12829" width="14.5703125" style="41" customWidth="1"/>
    <col min="12830" max="12830" width="14.7109375" style="41" customWidth="1"/>
    <col min="12831" max="12831" width="13.7109375" style="41" customWidth="1"/>
    <col min="12832" max="12832" width="51.28515625" style="41" customWidth="1"/>
    <col min="12833" max="12838" width="9.140625" style="41"/>
    <col min="12839" max="12839" width="0" style="41" hidden="1" customWidth="1"/>
    <col min="12840" max="13056" width="9.140625" style="41"/>
    <col min="13057" max="13057" width="3.5703125" style="41" bestFit="1" customWidth="1"/>
    <col min="13058" max="13060" width="2.28515625" style="41" customWidth="1"/>
    <col min="13061" max="13061" width="56" style="41" bestFit="1" customWidth="1"/>
    <col min="13062" max="13062" width="2.7109375" style="41" customWidth="1"/>
    <col min="13063" max="13063" width="16.7109375" style="41" bestFit="1" customWidth="1"/>
    <col min="13064" max="13064" width="2.7109375" style="41" customWidth="1"/>
    <col min="13065" max="13065" width="12.7109375" style="41" customWidth="1"/>
    <col min="13066" max="13066" width="12.5703125" style="41" customWidth="1"/>
    <col min="13067" max="13067" width="12.28515625" style="41" customWidth="1"/>
    <col min="13068" max="13068" width="11.7109375" style="41" customWidth="1"/>
    <col min="13069" max="13069" width="12.140625" style="41" customWidth="1"/>
    <col min="13070" max="13070" width="12.28515625" style="41" customWidth="1"/>
    <col min="13071" max="13071" width="11.7109375" style="41" customWidth="1"/>
    <col min="13072" max="13072" width="12" style="41" customWidth="1"/>
    <col min="13073" max="13073" width="12.140625" style="41" customWidth="1"/>
    <col min="13074" max="13074" width="11.7109375" style="41" customWidth="1"/>
    <col min="13075" max="13075" width="12" style="41" customWidth="1"/>
    <col min="13076" max="13076" width="12.28515625" style="41" customWidth="1"/>
    <col min="13077" max="13077" width="12.85546875" style="41" customWidth="1"/>
    <col min="13078" max="13078" width="17.140625" style="41" customWidth="1"/>
    <col min="13079" max="13080" width="13.28515625" style="41" customWidth="1"/>
    <col min="13081" max="13081" width="13.85546875" style="41" customWidth="1"/>
    <col min="13082" max="13082" width="16.85546875" style="41" customWidth="1"/>
    <col min="13083" max="13083" width="13.28515625" style="41" customWidth="1"/>
    <col min="13084" max="13084" width="13.42578125" style="41" customWidth="1"/>
    <col min="13085" max="13085" width="14.5703125" style="41" customWidth="1"/>
    <col min="13086" max="13086" width="14.7109375" style="41" customWidth="1"/>
    <col min="13087" max="13087" width="13.7109375" style="41" customWidth="1"/>
    <col min="13088" max="13088" width="51.28515625" style="41" customWidth="1"/>
    <col min="13089" max="13094" width="9.140625" style="41"/>
    <col min="13095" max="13095" width="0" style="41" hidden="1" customWidth="1"/>
    <col min="13096" max="13312" width="9.140625" style="41"/>
    <col min="13313" max="13313" width="3.5703125" style="41" bestFit="1" customWidth="1"/>
    <col min="13314" max="13316" width="2.28515625" style="41" customWidth="1"/>
    <col min="13317" max="13317" width="56" style="41" bestFit="1" customWidth="1"/>
    <col min="13318" max="13318" width="2.7109375" style="41" customWidth="1"/>
    <col min="13319" max="13319" width="16.7109375" style="41" bestFit="1" customWidth="1"/>
    <col min="13320" max="13320" width="2.7109375" style="41" customWidth="1"/>
    <col min="13321" max="13321" width="12.7109375" style="41" customWidth="1"/>
    <col min="13322" max="13322" width="12.5703125" style="41" customWidth="1"/>
    <col min="13323" max="13323" width="12.28515625" style="41" customWidth="1"/>
    <col min="13324" max="13324" width="11.7109375" style="41" customWidth="1"/>
    <col min="13325" max="13325" width="12.140625" style="41" customWidth="1"/>
    <col min="13326" max="13326" width="12.28515625" style="41" customWidth="1"/>
    <col min="13327" max="13327" width="11.7109375" style="41" customWidth="1"/>
    <col min="13328" max="13328" width="12" style="41" customWidth="1"/>
    <col min="13329" max="13329" width="12.140625" style="41" customWidth="1"/>
    <col min="13330" max="13330" width="11.7109375" style="41" customWidth="1"/>
    <col min="13331" max="13331" width="12" style="41" customWidth="1"/>
    <col min="13332" max="13332" width="12.28515625" style="41" customWidth="1"/>
    <col min="13333" max="13333" width="12.85546875" style="41" customWidth="1"/>
    <col min="13334" max="13334" width="17.140625" style="41" customWidth="1"/>
    <col min="13335" max="13336" width="13.28515625" style="41" customWidth="1"/>
    <col min="13337" max="13337" width="13.85546875" style="41" customWidth="1"/>
    <col min="13338" max="13338" width="16.85546875" style="41" customWidth="1"/>
    <col min="13339" max="13339" width="13.28515625" style="41" customWidth="1"/>
    <col min="13340" max="13340" width="13.42578125" style="41" customWidth="1"/>
    <col min="13341" max="13341" width="14.5703125" style="41" customWidth="1"/>
    <col min="13342" max="13342" width="14.7109375" style="41" customWidth="1"/>
    <col min="13343" max="13343" width="13.7109375" style="41" customWidth="1"/>
    <col min="13344" max="13344" width="51.28515625" style="41" customWidth="1"/>
    <col min="13345" max="13350" width="9.140625" style="41"/>
    <col min="13351" max="13351" width="0" style="41" hidden="1" customWidth="1"/>
    <col min="13352" max="13568" width="9.140625" style="41"/>
    <col min="13569" max="13569" width="3.5703125" style="41" bestFit="1" customWidth="1"/>
    <col min="13570" max="13572" width="2.28515625" style="41" customWidth="1"/>
    <col min="13573" max="13573" width="56" style="41" bestFit="1" customWidth="1"/>
    <col min="13574" max="13574" width="2.7109375" style="41" customWidth="1"/>
    <col min="13575" max="13575" width="16.7109375" style="41" bestFit="1" customWidth="1"/>
    <col min="13576" max="13576" width="2.7109375" style="41" customWidth="1"/>
    <col min="13577" max="13577" width="12.7109375" style="41" customWidth="1"/>
    <col min="13578" max="13578" width="12.5703125" style="41" customWidth="1"/>
    <col min="13579" max="13579" width="12.28515625" style="41" customWidth="1"/>
    <col min="13580" max="13580" width="11.7109375" style="41" customWidth="1"/>
    <col min="13581" max="13581" width="12.140625" style="41" customWidth="1"/>
    <col min="13582" max="13582" width="12.28515625" style="41" customWidth="1"/>
    <col min="13583" max="13583" width="11.7109375" style="41" customWidth="1"/>
    <col min="13584" max="13584" width="12" style="41" customWidth="1"/>
    <col min="13585" max="13585" width="12.140625" style="41" customWidth="1"/>
    <col min="13586" max="13586" width="11.7109375" style="41" customWidth="1"/>
    <col min="13587" max="13587" width="12" style="41" customWidth="1"/>
    <col min="13588" max="13588" width="12.28515625" style="41" customWidth="1"/>
    <col min="13589" max="13589" width="12.85546875" style="41" customWidth="1"/>
    <col min="13590" max="13590" width="17.140625" style="41" customWidth="1"/>
    <col min="13591" max="13592" width="13.28515625" style="41" customWidth="1"/>
    <col min="13593" max="13593" width="13.85546875" style="41" customWidth="1"/>
    <col min="13594" max="13594" width="16.85546875" style="41" customWidth="1"/>
    <col min="13595" max="13595" width="13.28515625" style="41" customWidth="1"/>
    <col min="13596" max="13596" width="13.42578125" style="41" customWidth="1"/>
    <col min="13597" max="13597" width="14.5703125" style="41" customWidth="1"/>
    <col min="13598" max="13598" width="14.7109375" style="41" customWidth="1"/>
    <col min="13599" max="13599" width="13.7109375" style="41" customWidth="1"/>
    <col min="13600" max="13600" width="51.28515625" style="41" customWidth="1"/>
    <col min="13601" max="13606" width="9.140625" style="41"/>
    <col min="13607" max="13607" width="0" style="41" hidden="1" customWidth="1"/>
    <col min="13608" max="13824" width="9.140625" style="41"/>
    <col min="13825" max="13825" width="3.5703125" style="41" bestFit="1" customWidth="1"/>
    <col min="13826" max="13828" width="2.28515625" style="41" customWidth="1"/>
    <col min="13829" max="13829" width="56" style="41" bestFit="1" customWidth="1"/>
    <col min="13830" max="13830" width="2.7109375" style="41" customWidth="1"/>
    <col min="13831" max="13831" width="16.7109375" style="41" bestFit="1" customWidth="1"/>
    <col min="13832" max="13832" width="2.7109375" style="41" customWidth="1"/>
    <col min="13833" max="13833" width="12.7109375" style="41" customWidth="1"/>
    <col min="13834" max="13834" width="12.5703125" style="41" customWidth="1"/>
    <col min="13835" max="13835" width="12.28515625" style="41" customWidth="1"/>
    <col min="13836" max="13836" width="11.7109375" style="41" customWidth="1"/>
    <col min="13837" max="13837" width="12.140625" style="41" customWidth="1"/>
    <col min="13838" max="13838" width="12.28515625" style="41" customWidth="1"/>
    <col min="13839" max="13839" width="11.7109375" style="41" customWidth="1"/>
    <col min="13840" max="13840" width="12" style="41" customWidth="1"/>
    <col min="13841" max="13841" width="12.140625" style="41" customWidth="1"/>
    <col min="13842" max="13842" width="11.7109375" style="41" customWidth="1"/>
    <col min="13843" max="13843" width="12" style="41" customWidth="1"/>
    <col min="13844" max="13844" width="12.28515625" style="41" customWidth="1"/>
    <col min="13845" max="13845" width="12.85546875" style="41" customWidth="1"/>
    <col min="13846" max="13846" width="17.140625" style="41" customWidth="1"/>
    <col min="13847" max="13848" width="13.28515625" style="41" customWidth="1"/>
    <col min="13849" max="13849" width="13.85546875" style="41" customWidth="1"/>
    <col min="13850" max="13850" width="16.85546875" style="41" customWidth="1"/>
    <col min="13851" max="13851" width="13.28515625" style="41" customWidth="1"/>
    <col min="13852" max="13852" width="13.42578125" style="41" customWidth="1"/>
    <col min="13853" max="13853" width="14.5703125" style="41" customWidth="1"/>
    <col min="13854" max="13854" width="14.7109375" style="41" customWidth="1"/>
    <col min="13855" max="13855" width="13.7109375" style="41" customWidth="1"/>
    <col min="13856" max="13856" width="51.28515625" style="41" customWidth="1"/>
    <col min="13857" max="13862" width="9.140625" style="41"/>
    <col min="13863" max="13863" width="0" style="41" hidden="1" customWidth="1"/>
    <col min="13864" max="14080" width="9.140625" style="41"/>
    <col min="14081" max="14081" width="3.5703125" style="41" bestFit="1" customWidth="1"/>
    <col min="14082" max="14084" width="2.28515625" style="41" customWidth="1"/>
    <col min="14085" max="14085" width="56" style="41" bestFit="1" customWidth="1"/>
    <col min="14086" max="14086" width="2.7109375" style="41" customWidth="1"/>
    <col min="14087" max="14087" width="16.7109375" style="41" bestFit="1" customWidth="1"/>
    <col min="14088" max="14088" width="2.7109375" style="41" customWidth="1"/>
    <col min="14089" max="14089" width="12.7109375" style="41" customWidth="1"/>
    <col min="14090" max="14090" width="12.5703125" style="41" customWidth="1"/>
    <col min="14091" max="14091" width="12.28515625" style="41" customWidth="1"/>
    <col min="14092" max="14092" width="11.7109375" style="41" customWidth="1"/>
    <col min="14093" max="14093" width="12.140625" style="41" customWidth="1"/>
    <col min="14094" max="14094" width="12.28515625" style="41" customWidth="1"/>
    <col min="14095" max="14095" width="11.7109375" style="41" customWidth="1"/>
    <col min="14096" max="14096" width="12" style="41" customWidth="1"/>
    <col min="14097" max="14097" width="12.140625" style="41" customWidth="1"/>
    <col min="14098" max="14098" width="11.7109375" style="41" customWidth="1"/>
    <col min="14099" max="14099" width="12" style="41" customWidth="1"/>
    <col min="14100" max="14100" width="12.28515625" style="41" customWidth="1"/>
    <col min="14101" max="14101" width="12.85546875" style="41" customWidth="1"/>
    <col min="14102" max="14102" width="17.140625" style="41" customWidth="1"/>
    <col min="14103" max="14104" width="13.28515625" style="41" customWidth="1"/>
    <col min="14105" max="14105" width="13.85546875" style="41" customWidth="1"/>
    <col min="14106" max="14106" width="16.85546875" style="41" customWidth="1"/>
    <col min="14107" max="14107" width="13.28515625" style="41" customWidth="1"/>
    <col min="14108" max="14108" width="13.42578125" style="41" customWidth="1"/>
    <col min="14109" max="14109" width="14.5703125" style="41" customWidth="1"/>
    <col min="14110" max="14110" width="14.7109375" style="41" customWidth="1"/>
    <col min="14111" max="14111" width="13.7109375" style="41" customWidth="1"/>
    <col min="14112" max="14112" width="51.28515625" style="41" customWidth="1"/>
    <col min="14113" max="14118" width="9.140625" style="41"/>
    <col min="14119" max="14119" width="0" style="41" hidden="1" customWidth="1"/>
    <col min="14120" max="14336" width="9.140625" style="41"/>
    <col min="14337" max="14337" width="3.5703125" style="41" bestFit="1" customWidth="1"/>
    <col min="14338" max="14340" width="2.28515625" style="41" customWidth="1"/>
    <col min="14341" max="14341" width="56" style="41" bestFit="1" customWidth="1"/>
    <col min="14342" max="14342" width="2.7109375" style="41" customWidth="1"/>
    <col min="14343" max="14343" width="16.7109375" style="41" bestFit="1" customWidth="1"/>
    <col min="14344" max="14344" width="2.7109375" style="41" customWidth="1"/>
    <col min="14345" max="14345" width="12.7109375" style="41" customWidth="1"/>
    <col min="14346" max="14346" width="12.5703125" style="41" customWidth="1"/>
    <col min="14347" max="14347" width="12.28515625" style="41" customWidth="1"/>
    <col min="14348" max="14348" width="11.7109375" style="41" customWidth="1"/>
    <col min="14349" max="14349" width="12.140625" style="41" customWidth="1"/>
    <col min="14350" max="14350" width="12.28515625" style="41" customWidth="1"/>
    <col min="14351" max="14351" width="11.7109375" style="41" customWidth="1"/>
    <col min="14352" max="14352" width="12" style="41" customWidth="1"/>
    <col min="14353" max="14353" width="12.140625" style="41" customWidth="1"/>
    <col min="14354" max="14354" width="11.7109375" style="41" customWidth="1"/>
    <col min="14355" max="14355" width="12" style="41" customWidth="1"/>
    <col min="14356" max="14356" width="12.28515625" style="41" customWidth="1"/>
    <col min="14357" max="14357" width="12.85546875" style="41" customWidth="1"/>
    <col min="14358" max="14358" width="17.140625" style="41" customWidth="1"/>
    <col min="14359" max="14360" width="13.28515625" style="41" customWidth="1"/>
    <col min="14361" max="14361" width="13.85546875" style="41" customWidth="1"/>
    <col min="14362" max="14362" width="16.85546875" style="41" customWidth="1"/>
    <col min="14363" max="14363" width="13.28515625" style="41" customWidth="1"/>
    <col min="14364" max="14364" width="13.42578125" style="41" customWidth="1"/>
    <col min="14365" max="14365" width="14.5703125" style="41" customWidth="1"/>
    <col min="14366" max="14366" width="14.7109375" style="41" customWidth="1"/>
    <col min="14367" max="14367" width="13.7109375" style="41" customWidth="1"/>
    <col min="14368" max="14368" width="51.28515625" style="41" customWidth="1"/>
    <col min="14369" max="14374" width="9.140625" style="41"/>
    <col min="14375" max="14375" width="0" style="41" hidden="1" customWidth="1"/>
    <col min="14376" max="14592" width="9.140625" style="41"/>
    <col min="14593" max="14593" width="3.5703125" style="41" bestFit="1" customWidth="1"/>
    <col min="14594" max="14596" width="2.28515625" style="41" customWidth="1"/>
    <col min="14597" max="14597" width="56" style="41" bestFit="1" customWidth="1"/>
    <col min="14598" max="14598" width="2.7109375" style="41" customWidth="1"/>
    <col min="14599" max="14599" width="16.7109375" style="41" bestFit="1" customWidth="1"/>
    <col min="14600" max="14600" width="2.7109375" style="41" customWidth="1"/>
    <col min="14601" max="14601" width="12.7109375" style="41" customWidth="1"/>
    <col min="14602" max="14602" width="12.5703125" style="41" customWidth="1"/>
    <col min="14603" max="14603" width="12.28515625" style="41" customWidth="1"/>
    <col min="14604" max="14604" width="11.7109375" style="41" customWidth="1"/>
    <col min="14605" max="14605" width="12.140625" style="41" customWidth="1"/>
    <col min="14606" max="14606" width="12.28515625" style="41" customWidth="1"/>
    <col min="14607" max="14607" width="11.7109375" style="41" customWidth="1"/>
    <col min="14608" max="14608" width="12" style="41" customWidth="1"/>
    <col min="14609" max="14609" width="12.140625" style="41" customWidth="1"/>
    <col min="14610" max="14610" width="11.7109375" style="41" customWidth="1"/>
    <col min="14611" max="14611" width="12" style="41" customWidth="1"/>
    <col min="14612" max="14612" width="12.28515625" style="41" customWidth="1"/>
    <col min="14613" max="14613" width="12.85546875" style="41" customWidth="1"/>
    <col min="14614" max="14614" width="17.140625" style="41" customWidth="1"/>
    <col min="14615" max="14616" width="13.28515625" style="41" customWidth="1"/>
    <col min="14617" max="14617" width="13.85546875" style="41" customWidth="1"/>
    <col min="14618" max="14618" width="16.85546875" style="41" customWidth="1"/>
    <col min="14619" max="14619" width="13.28515625" style="41" customWidth="1"/>
    <col min="14620" max="14620" width="13.42578125" style="41" customWidth="1"/>
    <col min="14621" max="14621" width="14.5703125" style="41" customWidth="1"/>
    <col min="14622" max="14622" width="14.7109375" style="41" customWidth="1"/>
    <col min="14623" max="14623" width="13.7109375" style="41" customWidth="1"/>
    <col min="14624" max="14624" width="51.28515625" style="41" customWidth="1"/>
    <col min="14625" max="14630" width="9.140625" style="41"/>
    <col min="14631" max="14631" width="0" style="41" hidden="1" customWidth="1"/>
    <col min="14632" max="14848" width="9.140625" style="41"/>
    <col min="14849" max="14849" width="3.5703125" style="41" bestFit="1" customWidth="1"/>
    <col min="14850" max="14852" width="2.28515625" style="41" customWidth="1"/>
    <col min="14853" max="14853" width="56" style="41" bestFit="1" customWidth="1"/>
    <col min="14854" max="14854" width="2.7109375" style="41" customWidth="1"/>
    <col min="14855" max="14855" width="16.7109375" style="41" bestFit="1" customWidth="1"/>
    <col min="14856" max="14856" width="2.7109375" style="41" customWidth="1"/>
    <col min="14857" max="14857" width="12.7109375" style="41" customWidth="1"/>
    <col min="14858" max="14858" width="12.5703125" style="41" customWidth="1"/>
    <col min="14859" max="14859" width="12.28515625" style="41" customWidth="1"/>
    <col min="14860" max="14860" width="11.7109375" style="41" customWidth="1"/>
    <col min="14861" max="14861" width="12.140625" style="41" customWidth="1"/>
    <col min="14862" max="14862" width="12.28515625" style="41" customWidth="1"/>
    <col min="14863" max="14863" width="11.7109375" style="41" customWidth="1"/>
    <col min="14864" max="14864" width="12" style="41" customWidth="1"/>
    <col min="14865" max="14865" width="12.140625" style="41" customWidth="1"/>
    <col min="14866" max="14866" width="11.7109375" style="41" customWidth="1"/>
    <col min="14867" max="14867" width="12" style="41" customWidth="1"/>
    <col min="14868" max="14868" width="12.28515625" style="41" customWidth="1"/>
    <col min="14869" max="14869" width="12.85546875" style="41" customWidth="1"/>
    <col min="14870" max="14870" width="17.140625" style="41" customWidth="1"/>
    <col min="14871" max="14872" width="13.28515625" style="41" customWidth="1"/>
    <col min="14873" max="14873" width="13.85546875" style="41" customWidth="1"/>
    <col min="14874" max="14874" width="16.85546875" style="41" customWidth="1"/>
    <col min="14875" max="14875" width="13.28515625" style="41" customWidth="1"/>
    <col min="14876" max="14876" width="13.42578125" style="41" customWidth="1"/>
    <col min="14877" max="14877" width="14.5703125" style="41" customWidth="1"/>
    <col min="14878" max="14878" width="14.7109375" style="41" customWidth="1"/>
    <col min="14879" max="14879" width="13.7109375" style="41" customWidth="1"/>
    <col min="14880" max="14880" width="51.28515625" style="41" customWidth="1"/>
    <col min="14881" max="14886" width="9.140625" style="41"/>
    <col min="14887" max="14887" width="0" style="41" hidden="1" customWidth="1"/>
    <col min="14888" max="15104" width="9.140625" style="41"/>
    <col min="15105" max="15105" width="3.5703125" style="41" bestFit="1" customWidth="1"/>
    <col min="15106" max="15108" width="2.28515625" style="41" customWidth="1"/>
    <col min="15109" max="15109" width="56" style="41" bestFit="1" customWidth="1"/>
    <col min="15110" max="15110" width="2.7109375" style="41" customWidth="1"/>
    <col min="15111" max="15111" width="16.7109375" style="41" bestFit="1" customWidth="1"/>
    <col min="15112" max="15112" width="2.7109375" style="41" customWidth="1"/>
    <col min="15113" max="15113" width="12.7109375" style="41" customWidth="1"/>
    <col min="15114" max="15114" width="12.5703125" style="41" customWidth="1"/>
    <col min="15115" max="15115" width="12.28515625" style="41" customWidth="1"/>
    <col min="15116" max="15116" width="11.7109375" style="41" customWidth="1"/>
    <col min="15117" max="15117" width="12.140625" style="41" customWidth="1"/>
    <col min="15118" max="15118" width="12.28515625" style="41" customWidth="1"/>
    <col min="15119" max="15119" width="11.7109375" style="41" customWidth="1"/>
    <col min="15120" max="15120" width="12" style="41" customWidth="1"/>
    <col min="15121" max="15121" width="12.140625" style="41" customWidth="1"/>
    <col min="15122" max="15122" width="11.7109375" style="41" customWidth="1"/>
    <col min="15123" max="15123" width="12" style="41" customWidth="1"/>
    <col min="15124" max="15124" width="12.28515625" style="41" customWidth="1"/>
    <col min="15125" max="15125" width="12.85546875" style="41" customWidth="1"/>
    <col min="15126" max="15126" width="17.140625" style="41" customWidth="1"/>
    <col min="15127" max="15128" width="13.28515625" style="41" customWidth="1"/>
    <col min="15129" max="15129" width="13.85546875" style="41" customWidth="1"/>
    <col min="15130" max="15130" width="16.85546875" style="41" customWidth="1"/>
    <col min="15131" max="15131" width="13.28515625" style="41" customWidth="1"/>
    <col min="15132" max="15132" width="13.42578125" style="41" customWidth="1"/>
    <col min="15133" max="15133" width="14.5703125" style="41" customWidth="1"/>
    <col min="15134" max="15134" width="14.7109375" style="41" customWidth="1"/>
    <col min="15135" max="15135" width="13.7109375" style="41" customWidth="1"/>
    <col min="15136" max="15136" width="51.28515625" style="41" customWidth="1"/>
    <col min="15137" max="15142" width="9.140625" style="41"/>
    <col min="15143" max="15143" width="0" style="41" hidden="1" customWidth="1"/>
    <col min="15144" max="15360" width="9.140625" style="41"/>
    <col min="15361" max="15361" width="3.5703125" style="41" bestFit="1" customWidth="1"/>
    <col min="15362" max="15364" width="2.28515625" style="41" customWidth="1"/>
    <col min="15365" max="15365" width="56" style="41" bestFit="1" customWidth="1"/>
    <col min="15366" max="15366" width="2.7109375" style="41" customWidth="1"/>
    <col min="15367" max="15367" width="16.7109375" style="41" bestFit="1" customWidth="1"/>
    <col min="15368" max="15368" width="2.7109375" style="41" customWidth="1"/>
    <col min="15369" max="15369" width="12.7109375" style="41" customWidth="1"/>
    <col min="15370" max="15370" width="12.5703125" style="41" customWidth="1"/>
    <col min="15371" max="15371" width="12.28515625" style="41" customWidth="1"/>
    <col min="15372" max="15372" width="11.7109375" style="41" customWidth="1"/>
    <col min="15373" max="15373" width="12.140625" style="41" customWidth="1"/>
    <col min="15374" max="15374" width="12.28515625" style="41" customWidth="1"/>
    <col min="15375" max="15375" width="11.7109375" style="41" customWidth="1"/>
    <col min="15376" max="15376" width="12" style="41" customWidth="1"/>
    <col min="15377" max="15377" width="12.140625" style="41" customWidth="1"/>
    <col min="15378" max="15378" width="11.7109375" style="41" customWidth="1"/>
    <col min="15379" max="15379" width="12" style="41" customWidth="1"/>
    <col min="15380" max="15380" width="12.28515625" style="41" customWidth="1"/>
    <col min="15381" max="15381" width="12.85546875" style="41" customWidth="1"/>
    <col min="15382" max="15382" width="17.140625" style="41" customWidth="1"/>
    <col min="15383" max="15384" width="13.28515625" style="41" customWidth="1"/>
    <col min="15385" max="15385" width="13.85546875" style="41" customWidth="1"/>
    <col min="15386" max="15386" width="16.85546875" style="41" customWidth="1"/>
    <col min="15387" max="15387" width="13.28515625" style="41" customWidth="1"/>
    <col min="15388" max="15388" width="13.42578125" style="41" customWidth="1"/>
    <col min="15389" max="15389" width="14.5703125" style="41" customWidth="1"/>
    <col min="15390" max="15390" width="14.7109375" style="41" customWidth="1"/>
    <col min="15391" max="15391" width="13.7109375" style="41" customWidth="1"/>
    <col min="15392" max="15392" width="51.28515625" style="41" customWidth="1"/>
    <col min="15393" max="15398" width="9.140625" style="41"/>
    <col min="15399" max="15399" width="0" style="41" hidden="1" customWidth="1"/>
    <col min="15400" max="15616" width="9.140625" style="41"/>
    <col min="15617" max="15617" width="3.5703125" style="41" bestFit="1" customWidth="1"/>
    <col min="15618" max="15620" width="2.28515625" style="41" customWidth="1"/>
    <col min="15621" max="15621" width="56" style="41" bestFit="1" customWidth="1"/>
    <col min="15622" max="15622" width="2.7109375" style="41" customWidth="1"/>
    <col min="15623" max="15623" width="16.7109375" style="41" bestFit="1" customWidth="1"/>
    <col min="15624" max="15624" width="2.7109375" style="41" customWidth="1"/>
    <col min="15625" max="15625" width="12.7109375" style="41" customWidth="1"/>
    <col min="15626" max="15626" width="12.5703125" style="41" customWidth="1"/>
    <col min="15627" max="15627" width="12.28515625" style="41" customWidth="1"/>
    <col min="15628" max="15628" width="11.7109375" style="41" customWidth="1"/>
    <col min="15629" max="15629" width="12.140625" style="41" customWidth="1"/>
    <col min="15630" max="15630" width="12.28515625" style="41" customWidth="1"/>
    <col min="15631" max="15631" width="11.7109375" style="41" customWidth="1"/>
    <col min="15632" max="15632" width="12" style="41" customWidth="1"/>
    <col min="15633" max="15633" width="12.140625" style="41" customWidth="1"/>
    <col min="15634" max="15634" width="11.7109375" style="41" customWidth="1"/>
    <col min="15635" max="15635" width="12" style="41" customWidth="1"/>
    <col min="15636" max="15636" width="12.28515625" style="41" customWidth="1"/>
    <col min="15637" max="15637" width="12.85546875" style="41" customWidth="1"/>
    <col min="15638" max="15638" width="17.140625" style="41" customWidth="1"/>
    <col min="15639" max="15640" width="13.28515625" style="41" customWidth="1"/>
    <col min="15641" max="15641" width="13.85546875" style="41" customWidth="1"/>
    <col min="15642" max="15642" width="16.85546875" style="41" customWidth="1"/>
    <col min="15643" max="15643" width="13.28515625" style="41" customWidth="1"/>
    <col min="15644" max="15644" width="13.42578125" style="41" customWidth="1"/>
    <col min="15645" max="15645" width="14.5703125" style="41" customWidth="1"/>
    <col min="15646" max="15646" width="14.7109375" style="41" customWidth="1"/>
    <col min="15647" max="15647" width="13.7109375" style="41" customWidth="1"/>
    <col min="15648" max="15648" width="51.28515625" style="41" customWidth="1"/>
    <col min="15649" max="15654" width="9.140625" style="41"/>
    <col min="15655" max="15655" width="0" style="41" hidden="1" customWidth="1"/>
    <col min="15656" max="15872" width="9.140625" style="41"/>
    <col min="15873" max="15873" width="3.5703125" style="41" bestFit="1" customWidth="1"/>
    <col min="15874" max="15876" width="2.28515625" style="41" customWidth="1"/>
    <col min="15877" max="15877" width="56" style="41" bestFit="1" customWidth="1"/>
    <col min="15878" max="15878" width="2.7109375" style="41" customWidth="1"/>
    <col min="15879" max="15879" width="16.7109375" style="41" bestFit="1" customWidth="1"/>
    <col min="15880" max="15880" width="2.7109375" style="41" customWidth="1"/>
    <col min="15881" max="15881" width="12.7109375" style="41" customWidth="1"/>
    <col min="15882" max="15882" width="12.5703125" style="41" customWidth="1"/>
    <col min="15883" max="15883" width="12.28515625" style="41" customWidth="1"/>
    <col min="15884" max="15884" width="11.7109375" style="41" customWidth="1"/>
    <col min="15885" max="15885" width="12.140625" style="41" customWidth="1"/>
    <col min="15886" max="15886" width="12.28515625" style="41" customWidth="1"/>
    <col min="15887" max="15887" width="11.7109375" style="41" customWidth="1"/>
    <col min="15888" max="15888" width="12" style="41" customWidth="1"/>
    <col min="15889" max="15889" width="12.140625" style="41" customWidth="1"/>
    <col min="15890" max="15890" width="11.7109375" style="41" customWidth="1"/>
    <col min="15891" max="15891" width="12" style="41" customWidth="1"/>
    <col min="15892" max="15892" width="12.28515625" style="41" customWidth="1"/>
    <col min="15893" max="15893" width="12.85546875" style="41" customWidth="1"/>
    <col min="15894" max="15894" width="17.140625" style="41" customWidth="1"/>
    <col min="15895" max="15896" width="13.28515625" style="41" customWidth="1"/>
    <col min="15897" max="15897" width="13.85546875" style="41" customWidth="1"/>
    <col min="15898" max="15898" width="16.85546875" style="41" customWidth="1"/>
    <col min="15899" max="15899" width="13.28515625" style="41" customWidth="1"/>
    <col min="15900" max="15900" width="13.42578125" style="41" customWidth="1"/>
    <col min="15901" max="15901" width="14.5703125" style="41" customWidth="1"/>
    <col min="15902" max="15902" width="14.7109375" style="41" customWidth="1"/>
    <col min="15903" max="15903" width="13.7109375" style="41" customWidth="1"/>
    <col min="15904" max="15904" width="51.28515625" style="41" customWidth="1"/>
    <col min="15905" max="15910" width="9.140625" style="41"/>
    <col min="15911" max="15911" width="0" style="41" hidden="1" customWidth="1"/>
    <col min="15912" max="16128" width="9.140625" style="41"/>
    <col min="16129" max="16129" width="3.5703125" style="41" bestFit="1" customWidth="1"/>
    <col min="16130" max="16132" width="2.28515625" style="41" customWidth="1"/>
    <col min="16133" max="16133" width="56" style="41" bestFit="1" customWidth="1"/>
    <col min="16134" max="16134" width="2.7109375" style="41" customWidth="1"/>
    <col min="16135" max="16135" width="16.7109375" style="41" bestFit="1" customWidth="1"/>
    <col min="16136" max="16136" width="2.7109375" style="41" customWidth="1"/>
    <col min="16137" max="16137" width="12.7109375" style="41" customWidth="1"/>
    <col min="16138" max="16138" width="12.5703125" style="41" customWidth="1"/>
    <col min="16139" max="16139" width="12.28515625" style="41" customWidth="1"/>
    <col min="16140" max="16140" width="11.7109375" style="41" customWidth="1"/>
    <col min="16141" max="16141" width="12.140625" style="41" customWidth="1"/>
    <col min="16142" max="16142" width="12.28515625" style="41" customWidth="1"/>
    <col min="16143" max="16143" width="11.7109375" style="41" customWidth="1"/>
    <col min="16144" max="16144" width="12" style="41" customWidth="1"/>
    <col min="16145" max="16145" width="12.140625" style="41" customWidth="1"/>
    <col min="16146" max="16146" width="11.7109375" style="41" customWidth="1"/>
    <col min="16147" max="16147" width="12" style="41" customWidth="1"/>
    <col min="16148" max="16148" width="12.28515625" style="41" customWidth="1"/>
    <col min="16149" max="16149" width="12.85546875" style="41" customWidth="1"/>
    <col min="16150" max="16150" width="17.140625" style="41" customWidth="1"/>
    <col min="16151" max="16152" width="13.28515625" style="41" customWidth="1"/>
    <col min="16153" max="16153" width="13.85546875" style="41" customWidth="1"/>
    <col min="16154" max="16154" width="16.85546875" style="41" customWidth="1"/>
    <col min="16155" max="16155" width="13.28515625" style="41" customWidth="1"/>
    <col min="16156" max="16156" width="13.42578125" style="41" customWidth="1"/>
    <col min="16157" max="16157" width="14.5703125" style="41" customWidth="1"/>
    <col min="16158" max="16158" width="14.7109375" style="41" customWidth="1"/>
    <col min="16159" max="16159" width="13.7109375" style="41" customWidth="1"/>
    <col min="16160" max="16160" width="51.28515625" style="41" customWidth="1"/>
    <col min="16161" max="16166" width="9.140625" style="41"/>
    <col min="16167" max="16167" width="0" style="41" hidden="1" customWidth="1"/>
    <col min="16168" max="16384" width="9.140625" style="41"/>
  </cols>
  <sheetData>
    <row r="1" spans="1:34" s="221" customFormat="1" ht="12" hidden="1" thickBot="1">
      <c r="A1" s="221">
        <v>1</v>
      </c>
      <c r="E1" s="224"/>
      <c r="F1" s="224"/>
      <c r="G1" s="223"/>
      <c r="H1" s="222"/>
      <c r="I1" s="222">
        <v>1</v>
      </c>
      <c r="J1" s="222"/>
      <c r="K1" s="222"/>
      <c r="L1" s="222">
        <v>2</v>
      </c>
      <c r="M1" s="222"/>
      <c r="N1" s="222"/>
      <c r="O1" s="222">
        <v>3</v>
      </c>
      <c r="P1" s="222"/>
      <c r="Q1" s="222"/>
      <c r="R1" s="222">
        <v>4</v>
      </c>
      <c r="S1" s="222"/>
      <c r="T1" s="222"/>
      <c r="U1" s="222">
        <v>5</v>
      </c>
      <c r="V1" s="309"/>
      <c r="W1" s="309"/>
      <c r="X1" s="309"/>
      <c r="Y1" s="309"/>
      <c r="Z1" s="309"/>
      <c r="AA1" s="309"/>
      <c r="AB1" s="309"/>
    </row>
    <row r="2" spans="1:34" s="1" customFormat="1" ht="19.5" customHeight="1" thickTop="1">
      <c r="A2" s="221">
        <f>A1+1</f>
        <v>2</v>
      </c>
      <c r="B2" s="738"/>
      <c r="C2" s="735"/>
      <c r="D2" s="735"/>
      <c r="E2" s="739" t="str">
        <f>QTR_MSG</f>
        <v/>
      </c>
      <c r="F2" s="735"/>
      <c r="G2" s="735"/>
      <c r="H2" s="735"/>
      <c r="I2" s="1021" t="str">
        <f>IF(School="",Mssg1,School)</f>
        <v>Please enter school name on tab - "1) Name of School"</v>
      </c>
      <c r="J2" s="1021"/>
      <c r="K2" s="1021"/>
      <c r="L2" s="1021"/>
      <c r="M2" s="1021"/>
      <c r="N2" s="1021"/>
      <c r="O2" s="1021"/>
      <c r="P2" s="1021"/>
      <c r="Q2" s="1021"/>
      <c r="R2" s="1021"/>
      <c r="S2" s="1021"/>
      <c r="T2" s="1024"/>
      <c r="U2" s="1020" t="str">
        <f>I2</f>
        <v>Please enter school name on tab - "1) Name of School"</v>
      </c>
      <c r="V2" s="1021"/>
      <c r="W2" s="1021"/>
      <c r="X2" s="1021"/>
      <c r="Y2" s="1021"/>
      <c r="Z2" s="1021"/>
      <c r="AA2" s="1021"/>
      <c r="AB2" s="1021"/>
      <c r="AC2" s="1021"/>
      <c r="AD2" s="1021"/>
      <c r="AE2" s="1021"/>
      <c r="AF2" s="219"/>
    </row>
    <row r="3" spans="1:34" s="1" customFormat="1" ht="19.5" customHeight="1" thickBot="1">
      <c r="A3" s="221">
        <f t="shared" ref="A3:A67" si="0">A2+1</f>
        <v>3</v>
      </c>
      <c r="B3" s="736"/>
      <c r="C3" s="737"/>
      <c r="D3" s="737"/>
      <c r="E3" s="737"/>
      <c r="F3" s="737"/>
      <c r="G3" s="737"/>
      <c r="H3" s="737"/>
      <c r="I3" s="1025" t="s">
        <v>227</v>
      </c>
      <c r="J3" s="1025"/>
      <c r="K3" s="1025"/>
      <c r="L3" s="1025"/>
      <c r="M3" s="1025"/>
      <c r="N3" s="1025"/>
      <c r="O3" s="1025"/>
      <c r="P3" s="1025"/>
      <c r="Q3" s="1025"/>
      <c r="R3" s="1025"/>
      <c r="S3" s="1025"/>
      <c r="T3" s="1026"/>
      <c r="U3" s="982" t="s">
        <v>227</v>
      </c>
      <c r="V3" s="982"/>
      <c r="W3" s="982"/>
      <c r="X3" s="982"/>
      <c r="Y3" s="982"/>
      <c r="Z3" s="982"/>
      <c r="AA3" s="982"/>
      <c r="AB3" s="982"/>
      <c r="AC3" s="982"/>
      <c r="AD3" s="982"/>
      <c r="AE3" s="983"/>
      <c r="AF3" s="233" t="s">
        <v>97</v>
      </c>
    </row>
    <row r="4" spans="1:34" s="1" customFormat="1" ht="19.5" thickTop="1">
      <c r="A4" s="221">
        <f t="shared" si="0"/>
        <v>4</v>
      </c>
      <c r="C4" s="734"/>
      <c r="D4" s="734"/>
      <c r="E4" s="734"/>
      <c r="F4" s="734"/>
      <c r="G4" s="734"/>
      <c r="H4" s="734"/>
      <c r="I4" s="1027" t="str">
        <f>IF(CONTROL!J12=0,Mssg2,AcadYr1)</f>
        <v>2024-25</v>
      </c>
      <c r="J4" s="1027"/>
      <c r="K4" s="1027"/>
      <c r="L4" s="1027"/>
      <c r="M4" s="1027"/>
      <c r="N4" s="1027"/>
      <c r="O4" s="1027"/>
      <c r="P4" s="1027"/>
      <c r="Q4" s="1027"/>
      <c r="R4" s="1027"/>
      <c r="S4" s="1027"/>
      <c r="T4" s="1028"/>
      <c r="U4" s="1020" t="str">
        <f>I4</f>
        <v>2024-25</v>
      </c>
      <c r="V4" s="1021"/>
      <c r="W4" s="1021"/>
      <c r="X4" s="1021"/>
      <c r="Y4" s="1021"/>
      <c r="Z4" s="1021"/>
      <c r="AA4" s="1021"/>
      <c r="AB4" s="1021"/>
      <c r="AC4" s="1021"/>
      <c r="AD4" s="1021"/>
      <c r="AE4" s="1021"/>
      <c r="AF4" s="215"/>
    </row>
    <row r="5" spans="1:34" s="1" customFormat="1" ht="7.9" hidden="1" customHeight="1">
      <c r="A5" s="221">
        <f t="shared" si="0"/>
        <v>5</v>
      </c>
      <c r="B5" s="310"/>
      <c r="C5" s="311"/>
      <c r="D5" s="311"/>
      <c r="E5" s="20"/>
      <c r="F5" s="20"/>
      <c r="G5" s="312"/>
      <c r="H5" s="313"/>
      <c r="I5" s="314"/>
      <c r="J5" s="313"/>
      <c r="K5" s="313"/>
      <c r="L5" s="315"/>
      <c r="M5" s="315"/>
      <c r="N5" s="315"/>
      <c r="O5" s="315"/>
      <c r="P5" s="315"/>
      <c r="Q5" s="315"/>
      <c r="R5" s="315"/>
      <c r="S5" s="315"/>
      <c r="T5" s="316"/>
      <c r="U5" s="39"/>
      <c r="V5" s="278"/>
      <c r="W5" s="278"/>
      <c r="X5" s="278"/>
      <c r="Y5" s="278"/>
      <c r="Z5" s="278"/>
      <c r="AA5" s="278"/>
      <c r="AB5" s="278"/>
      <c r="AE5" s="317"/>
      <c r="AF5" s="211"/>
    </row>
    <row r="6" spans="1:34" s="1" customFormat="1">
      <c r="A6" s="221">
        <f t="shared" si="0"/>
        <v>6</v>
      </c>
      <c r="B6" s="538" t="s">
        <v>23</v>
      </c>
      <c r="C6" s="524"/>
      <c r="D6" s="524"/>
      <c r="E6" s="525"/>
      <c r="F6" s="525"/>
      <c r="H6" s="527"/>
      <c r="I6" s="528">
        <f>IF(I18+I35&gt;0,I66,0)</f>
        <v>0</v>
      </c>
      <c r="J6" s="527">
        <f>J66</f>
        <v>0</v>
      </c>
      <c r="K6" s="529">
        <f>K66</f>
        <v>0</v>
      </c>
      <c r="L6" s="528">
        <f>IF(L18+L35&gt;0,L66,0)</f>
        <v>0</v>
      </c>
      <c r="M6" s="527">
        <f>M66</f>
        <v>0</v>
      </c>
      <c r="N6" s="529">
        <f>N66</f>
        <v>0</v>
      </c>
      <c r="O6" s="528">
        <f>IF(O18+O35&gt;0,O66,0)</f>
        <v>0</v>
      </c>
      <c r="P6" s="527">
        <f>P66</f>
        <v>0</v>
      </c>
      <c r="Q6" s="529">
        <f>Q66</f>
        <v>0</v>
      </c>
      <c r="R6" s="528">
        <f>IF(R18+R35&gt;0,R66,0)</f>
        <v>0</v>
      </c>
      <c r="S6" s="527">
        <f t="shared" ref="S6:AE6" si="1">S66</f>
        <v>0</v>
      </c>
      <c r="T6" s="530">
        <f t="shared" si="1"/>
        <v>0</v>
      </c>
      <c r="U6" s="531">
        <f t="shared" si="1"/>
        <v>0</v>
      </c>
      <c r="V6" s="532">
        <f t="shared" si="1"/>
        <v>0</v>
      </c>
      <c r="W6" s="532">
        <f t="shared" si="1"/>
        <v>0</v>
      </c>
      <c r="X6" s="532">
        <f t="shared" si="1"/>
        <v>0</v>
      </c>
      <c r="Y6" s="533">
        <f t="shared" si="1"/>
        <v>0</v>
      </c>
      <c r="Z6" s="532">
        <f t="shared" si="1"/>
        <v>0</v>
      </c>
      <c r="AA6" s="532">
        <f t="shared" si="1"/>
        <v>0</v>
      </c>
      <c r="AB6" s="532">
        <f t="shared" si="1"/>
        <v>0</v>
      </c>
      <c r="AC6" s="533">
        <f t="shared" si="1"/>
        <v>0</v>
      </c>
      <c r="AD6" s="527">
        <f t="shared" si="1"/>
        <v>0</v>
      </c>
      <c r="AE6" s="534">
        <f t="shared" si="1"/>
        <v>0</v>
      </c>
      <c r="AF6" s="210"/>
    </row>
    <row r="7" spans="1:34" s="1" customFormat="1" ht="18.75">
      <c r="A7" s="221">
        <f t="shared" si="0"/>
        <v>7</v>
      </c>
      <c r="B7" s="51" t="s">
        <v>0</v>
      </c>
      <c r="C7" s="518"/>
      <c r="D7" s="26"/>
      <c r="G7" s="49"/>
      <c r="H7" s="55"/>
      <c r="I7" s="209">
        <f>IF(I18+I35&gt;0,I157,0)</f>
        <v>0</v>
      </c>
      <c r="J7" s="55">
        <f>J157</f>
        <v>0</v>
      </c>
      <c r="K7" s="318">
        <f>K157</f>
        <v>0</v>
      </c>
      <c r="L7" s="209">
        <f>IF(L18+L35&gt;0,L157,0)</f>
        <v>0</v>
      </c>
      <c r="M7" s="55">
        <f>M157</f>
        <v>0</v>
      </c>
      <c r="N7" s="318">
        <f>N157</f>
        <v>0</v>
      </c>
      <c r="O7" s="209">
        <f>IF(O18+O35&gt;0,O157,0)</f>
        <v>0</v>
      </c>
      <c r="P7" s="55">
        <f>P157</f>
        <v>0</v>
      </c>
      <c r="Q7" s="318">
        <f>Q157</f>
        <v>0</v>
      </c>
      <c r="R7" s="209">
        <f>IF(R18+R35&gt;0,R157,0)</f>
        <v>0</v>
      </c>
      <c r="S7" s="55">
        <f t="shared" ref="S7:AE7" si="2">S157</f>
        <v>0</v>
      </c>
      <c r="T7" s="207">
        <f t="shared" si="2"/>
        <v>0</v>
      </c>
      <c r="U7" s="319">
        <f t="shared" si="2"/>
        <v>0</v>
      </c>
      <c r="V7" s="54">
        <f t="shared" si="2"/>
        <v>0</v>
      </c>
      <c r="W7" s="54">
        <f t="shared" si="2"/>
        <v>0</v>
      </c>
      <c r="X7" s="54">
        <f t="shared" si="2"/>
        <v>0</v>
      </c>
      <c r="Y7" s="320">
        <f t="shared" si="2"/>
        <v>0</v>
      </c>
      <c r="Z7" s="54">
        <f t="shared" si="2"/>
        <v>0</v>
      </c>
      <c r="AA7" s="54">
        <f t="shared" si="2"/>
        <v>0</v>
      </c>
      <c r="AB7" s="54">
        <f t="shared" si="2"/>
        <v>0</v>
      </c>
      <c r="AC7" s="320">
        <f t="shared" si="2"/>
        <v>0</v>
      </c>
      <c r="AD7" s="55">
        <f t="shared" si="2"/>
        <v>0</v>
      </c>
      <c r="AE7" s="321">
        <f t="shared" si="2"/>
        <v>0</v>
      </c>
      <c r="AF7" s="210"/>
    </row>
    <row r="8" spans="1:34" s="1" customFormat="1">
      <c r="A8" s="221">
        <f t="shared" si="0"/>
        <v>8</v>
      </c>
      <c r="B8" s="51" t="s">
        <v>22</v>
      </c>
      <c r="C8" s="26"/>
      <c r="D8" s="26"/>
      <c r="G8" s="49"/>
      <c r="H8" s="55"/>
      <c r="I8" s="209">
        <f>IF(I$18+I35&lt;&gt;0,I159,0)</f>
        <v>0</v>
      </c>
      <c r="J8" s="55">
        <f>J159</f>
        <v>0</v>
      </c>
      <c r="K8" s="206">
        <f>K159</f>
        <v>0</v>
      </c>
      <c r="L8" s="209">
        <f>IF(L$18+L35&lt;&gt;0,L159,0)</f>
        <v>0</v>
      </c>
      <c r="M8" s="55">
        <f>M159</f>
        <v>0</v>
      </c>
      <c r="N8" s="206">
        <f>N159</f>
        <v>0</v>
      </c>
      <c r="O8" s="209">
        <f>IF(O$18+O35&lt;&gt;0,O159,0)</f>
        <v>0</v>
      </c>
      <c r="P8" s="55">
        <f>P159</f>
        <v>0</v>
      </c>
      <c r="Q8" s="206">
        <f>Q159</f>
        <v>0</v>
      </c>
      <c r="R8" s="209">
        <f>IF(R$18+R35&lt;&gt;0,R159,0)</f>
        <v>0</v>
      </c>
      <c r="S8" s="55">
        <f>S159</f>
        <v>0</v>
      </c>
      <c r="T8" s="56">
        <f>T159</f>
        <v>0</v>
      </c>
      <c r="U8" s="319">
        <f>U159</f>
        <v>0</v>
      </c>
      <c r="V8" s="54">
        <f>V159</f>
        <v>0</v>
      </c>
      <c r="W8" s="54">
        <f>W159</f>
        <v>0</v>
      </c>
      <c r="X8" s="54">
        <f t="shared" ref="X8:AE8" si="3">X159</f>
        <v>0</v>
      </c>
      <c r="Y8" s="320">
        <f t="shared" si="3"/>
        <v>0</v>
      </c>
      <c r="Z8" s="54">
        <f t="shared" si="3"/>
        <v>0</v>
      </c>
      <c r="AA8" s="54">
        <f t="shared" si="3"/>
        <v>0</v>
      </c>
      <c r="AB8" s="54">
        <f t="shared" si="3"/>
        <v>0</v>
      </c>
      <c r="AC8" s="320">
        <f t="shared" si="3"/>
        <v>0</v>
      </c>
      <c r="AD8" s="55">
        <f t="shared" si="3"/>
        <v>0</v>
      </c>
      <c r="AE8" s="321">
        <f t="shared" si="3"/>
        <v>0</v>
      </c>
      <c r="AF8" s="210"/>
    </row>
    <row r="9" spans="1:34" s="26" customFormat="1">
      <c r="A9" s="221">
        <f t="shared" si="0"/>
        <v>9</v>
      </c>
      <c r="B9" s="57" t="s">
        <v>228</v>
      </c>
      <c r="C9" s="58"/>
      <c r="D9" s="58"/>
      <c r="E9" s="58"/>
      <c r="F9" s="58"/>
      <c r="G9" s="52"/>
      <c r="H9" s="62"/>
      <c r="I9" s="535">
        <f>IF(I163&gt;0,I179,0)</f>
        <v>0</v>
      </c>
      <c r="J9" s="62">
        <f>J179</f>
        <v>0</v>
      </c>
      <c r="K9" s="201">
        <f>K179</f>
        <v>0</v>
      </c>
      <c r="L9" s="535">
        <f>IF(L163&gt;0,L179,0)</f>
        <v>0</v>
      </c>
      <c r="M9" s="62">
        <f>M179</f>
        <v>0</v>
      </c>
      <c r="N9" s="201">
        <f>N179</f>
        <v>0</v>
      </c>
      <c r="O9" s="535">
        <f>IF(O163&gt;0,O179,0)</f>
        <v>0</v>
      </c>
      <c r="P9" s="62">
        <f>P179</f>
        <v>0</v>
      </c>
      <c r="Q9" s="201">
        <f>Q179</f>
        <v>0</v>
      </c>
      <c r="R9" s="535">
        <f>IF(R163&gt;0,R179,0)</f>
        <v>0</v>
      </c>
      <c r="S9" s="62">
        <f>S179</f>
        <v>0</v>
      </c>
      <c r="T9" s="64">
        <f>T179</f>
        <v>0</v>
      </c>
      <c r="U9" s="536">
        <f>U179</f>
        <v>0</v>
      </c>
      <c r="V9" s="63">
        <f>V179</f>
        <v>0</v>
      </c>
      <c r="W9" s="63">
        <f>W179</f>
        <v>0</v>
      </c>
      <c r="X9" s="63"/>
      <c r="Y9" s="112"/>
      <c r="Z9" s="537">
        <f>Z179</f>
        <v>0</v>
      </c>
      <c r="AA9" s="61">
        <f>U9-Z9</f>
        <v>0</v>
      </c>
      <c r="AB9" s="62"/>
      <c r="AC9" s="327"/>
      <c r="AD9" s="62">
        <f>AD179</f>
        <v>0</v>
      </c>
      <c r="AE9" s="328"/>
      <c r="AF9" s="323"/>
    </row>
    <row r="10" spans="1:34" s="26" customFormat="1" hidden="1">
      <c r="A10" s="221">
        <f t="shared" si="0"/>
        <v>10</v>
      </c>
      <c r="B10" s="57" t="s">
        <v>229</v>
      </c>
      <c r="C10" s="58"/>
      <c r="D10" s="58"/>
      <c r="E10" s="58"/>
      <c r="F10" s="58"/>
      <c r="G10" s="52"/>
      <c r="H10" s="62"/>
      <c r="I10" s="203">
        <v>0</v>
      </c>
      <c r="J10" s="79">
        <f>IF('4.) Yearly Budget'!$K$18&gt;0,'4.) Yearly Budget'!K10,'4.) Yearly Budget'!J10)</f>
        <v>0</v>
      </c>
      <c r="K10" s="201">
        <f>IF(I163&gt;0,I10-J10,0)</f>
        <v>0</v>
      </c>
      <c r="L10" s="203">
        <v>0</v>
      </c>
      <c r="M10" s="79">
        <f>IF('4.) Yearly Budget'!$N$18&gt;0,'4.) Yearly Budget'!N10,'4.) Yearly Budget'!M10)</f>
        <v>0</v>
      </c>
      <c r="N10" s="201">
        <f>IF(L163&gt;0,L10-M10,0)</f>
        <v>0</v>
      </c>
      <c r="O10" s="203">
        <v>0</v>
      </c>
      <c r="P10" s="79">
        <f>IF('4.) Yearly Budget'!$Q$18&gt;0,'4.) Yearly Budget'!Q10,'4.) Yearly Budget'!P10)</f>
        <v>0</v>
      </c>
      <c r="Q10" s="201">
        <f>IF(O163&gt;0,O10-P10,0)</f>
        <v>0</v>
      </c>
      <c r="R10" s="203">
        <v>0</v>
      </c>
      <c r="S10" s="79">
        <f>IF('4.) Yearly Budget'!$T$18&gt;0,'4.) Yearly Budget'!T10,'4.) Yearly Budget'!S10)</f>
        <v>0</v>
      </c>
      <c r="T10" s="64">
        <f>IF(R163&gt;0,R10-S10,0)</f>
        <v>0</v>
      </c>
      <c r="U10" s="324">
        <f>IF(R10&gt;0,R10,IF(O10&gt;0,O10,IF(L10&gt;0,L10,IF(I10&gt;0,I10,0))))</f>
        <v>0</v>
      </c>
      <c r="V10" s="325">
        <f>IF(R10&gt;0,S10,IF(O10&gt;0,P10,IF(L10&gt;0,M10,IF(I10&gt;0,J10,0))))</f>
        <v>0</v>
      </c>
      <c r="W10" s="63">
        <f>U10-V10</f>
        <v>0</v>
      </c>
      <c r="X10" s="63"/>
      <c r="Y10" s="322"/>
      <c r="Z10" s="326">
        <f>IF(R$163&gt;0,'4.) Yearly Budget'!S10,IF(O$163&gt;0,'4.) Yearly Budget'!P10,IF(L10&gt;0,'4.) Yearly Budget'!M10,IF(I$163&gt;0,'4.) Yearly Budget'!J10,0))))</f>
        <v>0</v>
      </c>
      <c r="AA10" s="61">
        <f>U10-Z10</f>
        <v>0</v>
      </c>
      <c r="AB10" s="62"/>
      <c r="AC10" s="320"/>
      <c r="AD10" s="62">
        <f>IF(AD9&lt;&gt;0,'4.) Yearly Budget'!I10,0)</f>
        <v>0</v>
      </c>
      <c r="AE10" s="328"/>
      <c r="AF10" s="323"/>
    </row>
    <row r="11" spans="1:34" s="1" customFormat="1" ht="24.75" customHeight="1">
      <c r="A11" s="221">
        <f t="shared" si="0"/>
        <v>11</v>
      </c>
      <c r="B11" s="65"/>
      <c r="G11" s="49"/>
      <c r="H11" s="39"/>
      <c r="S11" s="214"/>
      <c r="T11" s="212"/>
      <c r="U11" s="39"/>
      <c r="V11" s="278"/>
      <c r="W11" s="278"/>
      <c r="X11" s="278"/>
      <c r="Y11" s="279"/>
      <c r="Z11" s="278"/>
      <c r="AA11" s="278"/>
      <c r="AB11" s="278"/>
      <c r="AC11" s="523"/>
      <c r="AD11" s="279"/>
      <c r="AE11" s="329"/>
      <c r="AF11" s="211"/>
    </row>
    <row r="12" spans="1:34" s="1" customFormat="1" ht="12" customHeight="1">
      <c r="A12" s="221">
        <f t="shared" si="0"/>
        <v>12</v>
      </c>
      <c r="B12" s="330"/>
      <c r="C12" s="235"/>
      <c r="D12" s="235"/>
      <c r="E12" s="235"/>
      <c r="G12" s="49"/>
      <c r="H12" s="39"/>
      <c r="I12" s="1022" t="s">
        <v>231</v>
      </c>
      <c r="J12" s="1015"/>
      <c r="K12" s="1023"/>
      <c r="L12" s="1022" t="s">
        <v>232</v>
      </c>
      <c r="M12" s="1015"/>
      <c r="N12" s="1023"/>
      <c r="O12" s="1022" t="s">
        <v>233</v>
      </c>
      <c r="P12" s="1015"/>
      <c r="Q12" s="1023"/>
      <c r="R12" s="1022" t="s">
        <v>234</v>
      </c>
      <c r="S12" s="1015"/>
      <c r="T12" s="1016"/>
      <c r="U12" s="1014" t="s">
        <v>306</v>
      </c>
      <c r="V12" s="1015"/>
      <c r="W12" s="1015"/>
      <c r="X12" s="1015"/>
      <c r="Y12" s="1015"/>
      <c r="Z12" s="1015"/>
      <c r="AA12" s="1015"/>
      <c r="AB12" s="1015"/>
      <c r="AC12" s="1015"/>
      <c r="AD12" s="1015"/>
      <c r="AE12" s="1016"/>
      <c r="AF12" s="211"/>
    </row>
    <row r="13" spans="1:34" s="67" customFormat="1" ht="60">
      <c r="A13" s="221">
        <f t="shared" si="0"/>
        <v>13</v>
      </c>
      <c r="B13" s="1017" t="s">
        <v>366</v>
      </c>
      <c r="C13" s="1018"/>
      <c r="D13" s="1018"/>
      <c r="E13" s="1018"/>
      <c r="F13" s="1018"/>
      <c r="G13" s="1019"/>
      <c r="H13" s="279"/>
      <c r="I13" s="229" t="s">
        <v>307</v>
      </c>
      <c r="J13" s="230" t="s">
        <v>308</v>
      </c>
      <c r="K13" s="231" t="s">
        <v>237</v>
      </c>
      <c r="L13" s="229" t="s">
        <v>307</v>
      </c>
      <c r="M13" s="230" t="s">
        <v>308</v>
      </c>
      <c r="N13" s="231" t="s">
        <v>237</v>
      </c>
      <c r="O13" s="229" t="s">
        <v>307</v>
      </c>
      <c r="P13" s="230" t="s">
        <v>308</v>
      </c>
      <c r="Q13" s="231" t="s">
        <v>237</v>
      </c>
      <c r="R13" s="229" t="s">
        <v>307</v>
      </c>
      <c r="S13" s="230" t="s">
        <v>308</v>
      </c>
      <c r="T13" s="232" t="s">
        <v>237</v>
      </c>
      <c r="U13" s="331" t="s">
        <v>307</v>
      </c>
      <c r="V13" s="230" t="s">
        <v>309</v>
      </c>
      <c r="W13" s="230" t="s">
        <v>310</v>
      </c>
      <c r="X13" s="230" t="s">
        <v>311</v>
      </c>
      <c r="Y13" s="230" t="s">
        <v>312</v>
      </c>
      <c r="Z13" s="230" t="s">
        <v>313</v>
      </c>
      <c r="AA13" s="230" t="s">
        <v>314</v>
      </c>
      <c r="AB13" s="230" t="s">
        <v>315</v>
      </c>
      <c r="AC13" s="230" t="s">
        <v>316</v>
      </c>
      <c r="AD13" s="230" t="s">
        <v>636</v>
      </c>
      <c r="AE13" s="232" t="s">
        <v>317</v>
      </c>
      <c r="AF13" s="211"/>
      <c r="AH13" s="1"/>
    </row>
    <row r="14" spans="1:34" s="67" customFormat="1" ht="7.5" customHeight="1">
      <c r="A14" s="221">
        <f t="shared" si="0"/>
        <v>14</v>
      </c>
      <c r="B14" s="68"/>
      <c r="C14" s="69"/>
      <c r="D14" s="69"/>
      <c r="E14" s="70"/>
      <c r="F14" s="70"/>
      <c r="G14" s="71"/>
      <c r="H14" s="72"/>
      <c r="I14" s="72"/>
      <c r="J14" s="72"/>
      <c r="K14" s="72"/>
      <c r="L14" s="72"/>
      <c r="M14" s="72"/>
      <c r="N14" s="72"/>
      <c r="O14" s="72"/>
      <c r="P14" s="72"/>
      <c r="Q14" s="72"/>
      <c r="R14" s="72"/>
      <c r="S14" s="72"/>
      <c r="T14" s="602"/>
      <c r="U14" s="584"/>
      <c r="V14" s="72"/>
      <c r="W14" s="72"/>
      <c r="X14" s="72"/>
      <c r="Y14" s="72"/>
      <c r="Z14" s="72"/>
      <c r="AA14" s="72"/>
      <c r="AB14" s="72"/>
      <c r="AC14" s="72"/>
      <c r="AD14" s="72"/>
      <c r="AE14" s="73"/>
      <c r="AF14" s="237"/>
      <c r="AH14" s="1"/>
    </row>
    <row r="15" spans="1:34" s="53" customFormat="1" ht="12.75" customHeight="1">
      <c r="A15" s="221">
        <f t="shared" si="0"/>
        <v>15</v>
      </c>
      <c r="B15" s="74" t="s">
        <v>24</v>
      </c>
      <c r="C15" s="75"/>
      <c r="D15" s="75"/>
      <c r="G15" s="48"/>
      <c r="H15" s="76"/>
      <c r="I15"/>
      <c r="J15"/>
      <c r="K15"/>
      <c r="L15"/>
      <c r="M15"/>
      <c r="N15"/>
      <c r="O15"/>
      <c r="P15"/>
      <c r="Q15"/>
      <c r="R15"/>
      <c r="S15"/>
      <c r="T15" s="693"/>
      <c r="U15" s="330"/>
      <c r="V15" s="235"/>
      <c r="W15" s="235"/>
      <c r="X15" s="235"/>
      <c r="Y15" s="235"/>
      <c r="Z15" s="235"/>
      <c r="AA15" s="254"/>
      <c r="AB15" s="254"/>
      <c r="AC15" s="254"/>
      <c r="AD15" s="254"/>
      <c r="AE15" s="332"/>
      <c r="AF15" s="237"/>
    </row>
    <row r="16" spans="1:34" s="53" customFormat="1" ht="12" customHeight="1">
      <c r="A16" s="221">
        <f t="shared" si="0"/>
        <v>16</v>
      </c>
      <c r="B16" s="74"/>
      <c r="C16" s="75" t="s">
        <v>25</v>
      </c>
      <c r="D16" s="75"/>
      <c r="G16" s="494" t="str">
        <f>PPR_Tbl_Date</f>
        <v>2024-25</v>
      </c>
      <c r="H16" s="76"/>
      <c r="I16"/>
      <c r="J16"/>
      <c r="K16"/>
      <c r="L16"/>
      <c r="M16"/>
      <c r="N16"/>
      <c r="O16"/>
      <c r="P16"/>
      <c r="Q16"/>
      <c r="R16"/>
      <c r="S16"/>
      <c r="T16" s="693"/>
      <c r="U16" s="330"/>
      <c r="V16" s="235"/>
      <c r="W16" s="235"/>
      <c r="X16" s="235"/>
      <c r="Y16" s="235"/>
      <c r="Z16" s="235"/>
      <c r="AA16" s="76"/>
      <c r="AB16" s="76"/>
      <c r="AC16" s="76"/>
      <c r="AD16" s="76"/>
      <c r="AE16" s="99"/>
      <c r="AF16" s="237"/>
    </row>
    <row r="17" spans="1:39" s="53" customFormat="1" ht="15.75" thickBot="1">
      <c r="A17" s="221">
        <f t="shared" si="0"/>
        <v>17</v>
      </c>
      <c r="B17" s="77"/>
      <c r="C17" s="41"/>
      <c r="D17" s="78" t="str">
        <f>'4.) Yearly Budget'!D17</f>
        <v>Per Pupil Revenue</v>
      </c>
      <c r="G17" s="880" t="s">
        <v>118</v>
      </c>
      <c r="H17" s="76"/>
      <c r="I17"/>
      <c r="J17" s="79"/>
      <c r="K17" s="79"/>
      <c r="L17"/>
      <c r="M17" s="79"/>
      <c r="N17" s="79"/>
      <c r="O17"/>
      <c r="P17" s="79"/>
      <c r="Q17" s="79"/>
      <c r="R17"/>
      <c r="S17" s="79"/>
      <c r="T17" s="80"/>
      <c r="U17" s="585"/>
      <c r="V17" s="79"/>
      <c r="W17" s="79"/>
      <c r="X17" s="79"/>
      <c r="Y17" s="333"/>
      <c r="Z17" s="79"/>
      <c r="AA17" s="79"/>
      <c r="AB17" s="79"/>
      <c r="AC17" s="79"/>
      <c r="AD17" s="79"/>
      <c r="AE17" s="80"/>
      <c r="AF17" s="334"/>
    </row>
    <row r="18" spans="1:39" s="53" customFormat="1" ht="16.5" thickTop="1" thickBot="1">
      <c r="A18" s="221">
        <f t="shared" si="0"/>
        <v>18</v>
      </c>
      <c r="B18" s="77"/>
      <c r="C18" s="41"/>
      <c r="D18" s="41"/>
      <c r="E18" s="44" t="str">
        <f>CONTROL!B52</f>
        <v>-</v>
      </c>
      <c r="F18" s="44"/>
      <c r="G18" s="282">
        <f>CONTROL!C52</f>
        <v>0</v>
      </c>
      <c r="H18" s="76"/>
      <c r="I18" s="238"/>
      <c r="J18" s="83">
        <f>IF('4.) Yearly Budget'!$K$18&gt;0,'4.) Yearly Budget'!K18,'4.) Yearly Budget'!J18)</f>
        <v>0</v>
      </c>
      <c r="K18" s="335">
        <f t="shared" ref="K18:K33" si="4">IF(I$18&lt;&gt;0,I18-J18,0)</f>
        <v>0</v>
      </c>
      <c r="L18" s="238"/>
      <c r="M18" s="83">
        <f>IF('4.) Yearly Budget'!$N$18&gt;0,'4.) Yearly Budget'!N18,'4.) Yearly Budget'!M18)</f>
        <v>0</v>
      </c>
      <c r="N18" s="335">
        <f t="shared" ref="N18:N33" si="5">IF(L$18&lt;&gt;0,L18-M18,0)</f>
        <v>0</v>
      </c>
      <c r="O18" s="238"/>
      <c r="P18" s="83">
        <f>IF('4.) Yearly Budget'!$Q$18&gt;0,'4.) Yearly Budget'!Q18,'4.) Yearly Budget'!P18)</f>
        <v>0</v>
      </c>
      <c r="Q18" s="335">
        <f t="shared" ref="Q18:Q33" si="6">IF(O$18&lt;&gt;0,O18-P18,0)</f>
        <v>0</v>
      </c>
      <c r="R18" s="238"/>
      <c r="S18" s="83">
        <f>IF('4.) Yearly Budget'!$T$18&gt;0,'4.) Yearly Budget'!T18,'4.) Yearly Budget'!S18)</f>
        <v>0</v>
      </c>
      <c r="T18" s="86">
        <f t="shared" ref="T18:T33" si="7">IF(R$18&lt;&gt;0,R18-S18,0)</f>
        <v>0</v>
      </c>
      <c r="U18" s="336">
        <f t="shared" ref="U18:U33" si="8">IF(I$18&lt;&gt;0,I18,0)+IF(L$18&lt;&gt;0,L18,0)+IF(O$18&lt;&gt;0,O18,0)+IF(R$18&lt;&gt;0,R18,0)</f>
        <v>0</v>
      </c>
      <c r="V18" s="337">
        <f t="shared" ref="V18:V33" si="9">SUM(IF(I$18&lt;&gt;0,J18,0)+IF(L$18&lt;&gt;0,M18,0)+IF(O$18&lt;&gt;0,P18,0)+IF(R$18&lt;&gt;0,S18,0))</f>
        <v>0</v>
      </c>
      <c r="W18" s="337">
        <f t="shared" ref="W18:W33" si="10">U18-V18</f>
        <v>0</v>
      </c>
      <c r="X18" s="337">
        <f>'4.) Yearly Budget'!W18</f>
        <v>0</v>
      </c>
      <c r="Y18" s="338">
        <f t="shared" ref="Y18:Y33" si="11">IF(U18&lt;&gt;0,U18-X18,IF(U18=0,-X18,0))</f>
        <v>0</v>
      </c>
      <c r="Z18" s="339">
        <f>SUM(IF(I$18&lt;&gt;0,'4.) Yearly Budget'!J18,0)+IF(L$18&lt;&gt;0,'4.) Yearly Budget'!M18,0)+IF(O$18&lt;&gt;0,'4.) Yearly Budget'!P18,0)+IF(R$18&lt;&gt;0,'4.) Yearly Budget'!S18,0))</f>
        <v>0</v>
      </c>
      <c r="AA18" s="339">
        <f t="shared" ref="AA18:AA33" si="12">U18-Z18</f>
        <v>0</v>
      </c>
      <c r="AB18" s="339">
        <f>'4.) Yearly Budget'!V18</f>
        <v>0</v>
      </c>
      <c r="AC18" s="340">
        <f t="shared" ref="AC18:AC33" si="13">IF(U18&lt;&gt;0,U18-AB18,IF(U18=0,-AB18,0))</f>
        <v>0</v>
      </c>
      <c r="AD18" s="339">
        <f>IF(U$18&lt;&gt;0,'4.) Yearly Budget'!I18/$AM$18,0)</f>
        <v>0</v>
      </c>
      <c r="AE18" s="86">
        <f>U18-AD18</f>
        <v>0</v>
      </c>
      <c r="AF18" s="240"/>
      <c r="AM18" s="930">
        <f>IF(R6&gt;0,1,IF(O6&gt;0,4/3,IF(L6&gt;0,2,4)))</f>
        <v>4</v>
      </c>
    </row>
    <row r="19" spans="1:39" s="53" customFormat="1" ht="15.75" thickTop="1">
      <c r="A19" s="221">
        <f t="shared" si="0"/>
        <v>19</v>
      </c>
      <c r="B19" s="77"/>
      <c r="C19" s="41"/>
      <c r="D19" s="41"/>
      <c r="E19" s="44" t="str">
        <f>CONTROL!B53</f>
        <v>-</v>
      </c>
      <c r="F19" s="44"/>
      <c r="G19" s="282">
        <f>CONTROL!C53</f>
        <v>0</v>
      </c>
      <c r="H19" s="76"/>
      <c r="I19" s="238"/>
      <c r="J19" s="83">
        <f>IF('4.) Yearly Budget'!$K$18&gt;0,'4.) Yearly Budget'!K19,'4.) Yearly Budget'!J19)</f>
        <v>0</v>
      </c>
      <c r="K19" s="335">
        <f t="shared" si="4"/>
        <v>0</v>
      </c>
      <c r="L19" s="238"/>
      <c r="M19" s="83">
        <f>IF('4.) Yearly Budget'!$N$18&gt;0,'4.) Yearly Budget'!N19,'4.) Yearly Budget'!M19)</f>
        <v>0</v>
      </c>
      <c r="N19" s="335">
        <f t="shared" si="5"/>
        <v>0</v>
      </c>
      <c r="O19" s="238"/>
      <c r="P19" s="83">
        <f>IF('4.) Yearly Budget'!$Q$18&gt;0,'4.) Yearly Budget'!Q19,'4.) Yearly Budget'!P19)</f>
        <v>0</v>
      </c>
      <c r="Q19" s="335">
        <f t="shared" si="6"/>
        <v>0</v>
      </c>
      <c r="R19" s="238"/>
      <c r="S19" s="83">
        <f>IF('4.) Yearly Budget'!$T$18&gt;0,'4.) Yearly Budget'!T19,'4.) Yearly Budget'!S19)</f>
        <v>0</v>
      </c>
      <c r="T19" s="86">
        <f t="shared" si="7"/>
        <v>0</v>
      </c>
      <c r="U19" s="239">
        <f t="shared" si="8"/>
        <v>0</v>
      </c>
      <c r="V19" s="337">
        <f t="shared" si="9"/>
        <v>0</v>
      </c>
      <c r="W19" s="337">
        <f t="shared" si="10"/>
        <v>0</v>
      </c>
      <c r="X19" s="337">
        <f>'4.) Yearly Budget'!W19</f>
        <v>0</v>
      </c>
      <c r="Y19" s="338">
        <f t="shared" si="11"/>
        <v>0</v>
      </c>
      <c r="Z19" s="339">
        <f>SUM(IF(I$18&lt;&gt;0,'4.) Yearly Budget'!J19,0)+IF(L$18&lt;&gt;0,'4.) Yearly Budget'!M19,0)+IF(O$18&lt;&gt;0,'4.) Yearly Budget'!P19,0)+IF(R$18&lt;&gt;0,'4.) Yearly Budget'!S19,0))</f>
        <v>0</v>
      </c>
      <c r="AA19" s="339">
        <f t="shared" si="12"/>
        <v>0</v>
      </c>
      <c r="AB19" s="339">
        <f>'4.) Yearly Budget'!V19</f>
        <v>0</v>
      </c>
      <c r="AC19" s="340">
        <f t="shared" si="13"/>
        <v>0</v>
      </c>
      <c r="AD19" s="339">
        <f>IF(U$18&lt;&gt;0,'4.) Yearly Budget'!I19/$AM$18,0)</f>
        <v>0</v>
      </c>
      <c r="AE19" s="86">
        <f t="shared" ref="AE19:AE33" si="14">U19-AD19</f>
        <v>0</v>
      </c>
      <c r="AF19" s="240"/>
    </row>
    <row r="20" spans="1:39" s="53" customFormat="1">
      <c r="A20" s="221">
        <f t="shared" si="0"/>
        <v>20</v>
      </c>
      <c r="B20" s="77"/>
      <c r="C20" s="41"/>
      <c r="D20" s="41"/>
      <c r="E20" s="44" t="str">
        <f>CONTROL!B54</f>
        <v>-</v>
      </c>
      <c r="F20" s="44"/>
      <c r="G20" s="282">
        <f>CONTROL!C54</f>
        <v>0</v>
      </c>
      <c r="H20" s="76"/>
      <c r="I20" s="238"/>
      <c r="J20" s="83">
        <f>IF('4.) Yearly Budget'!$K$18&gt;0,'4.) Yearly Budget'!K20,'4.) Yearly Budget'!J20)</f>
        <v>0</v>
      </c>
      <c r="K20" s="335">
        <f t="shared" si="4"/>
        <v>0</v>
      </c>
      <c r="L20" s="238"/>
      <c r="M20" s="83">
        <f>IF('4.) Yearly Budget'!$N$18&gt;0,'4.) Yearly Budget'!N20,'4.) Yearly Budget'!M20)</f>
        <v>0</v>
      </c>
      <c r="N20" s="335">
        <f t="shared" si="5"/>
        <v>0</v>
      </c>
      <c r="O20" s="238"/>
      <c r="P20" s="83">
        <f>IF('4.) Yearly Budget'!$Q$18&gt;0,'4.) Yearly Budget'!Q20,'4.) Yearly Budget'!P20)</f>
        <v>0</v>
      </c>
      <c r="Q20" s="335">
        <f t="shared" si="6"/>
        <v>0</v>
      </c>
      <c r="R20" s="238"/>
      <c r="S20" s="83">
        <f>IF('4.) Yearly Budget'!$T$18&gt;0,'4.) Yearly Budget'!T20,'4.) Yearly Budget'!S20)</f>
        <v>0</v>
      </c>
      <c r="T20" s="86">
        <f t="shared" si="7"/>
        <v>0</v>
      </c>
      <c r="U20" s="239">
        <f t="shared" si="8"/>
        <v>0</v>
      </c>
      <c r="V20" s="337">
        <f t="shared" si="9"/>
        <v>0</v>
      </c>
      <c r="W20" s="337">
        <f t="shared" si="10"/>
        <v>0</v>
      </c>
      <c r="X20" s="337">
        <f>'4.) Yearly Budget'!W20</f>
        <v>0</v>
      </c>
      <c r="Y20" s="338">
        <f t="shared" si="11"/>
        <v>0</v>
      </c>
      <c r="Z20" s="339">
        <f>SUM(IF(I$18&lt;&gt;0,'4.) Yearly Budget'!J20,0)+IF(L$18&lt;&gt;0,'4.) Yearly Budget'!M20,0)+IF(O$18&lt;&gt;0,'4.) Yearly Budget'!P20,0)+IF(R$18&lt;&gt;0,'4.) Yearly Budget'!S20,0))</f>
        <v>0</v>
      </c>
      <c r="AA20" s="339">
        <f t="shared" si="12"/>
        <v>0</v>
      </c>
      <c r="AB20" s="339">
        <f>'4.) Yearly Budget'!V20</f>
        <v>0</v>
      </c>
      <c r="AC20" s="340">
        <f t="shared" si="13"/>
        <v>0</v>
      </c>
      <c r="AD20" s="339">
        <f>IF(U$18&lt;&gt;0,'4.) Yearly Budget'!I20/$AM$18,0)</f>
        <v>0</v>
      </c>
      <c r="AE20" s="86">
        <f t="shared" si="14"/>
        <v>0</v>
      </c>
      <c r="AF20" s="240"/>
    </row>
    <row r="21" spans="1:39" s="53" customFormat="1">
      <c r="A21" s="221">
        <f t="shared" si="0"/>
        <v>21</v>
      </c>
      <c r="B21" s="77"/>
      <c r="C21" s="41"/>
      <c r="D21" s="41"/>
      <c r="E21" s="44" t="str">
        <f>CONTROL!B55</f>
        <v>-</v>
      </c>
      <c r="F21" s="44"/>
      <c r="G21" s="282">
        <f>CONTROL!C55</f>
        <v>0</v>
      </c>
      <c r="H21" s="76"/>
      <c r="I21" s="238"/>
      <c r="J21" s="83">
        <f>IF('4.) Yearly Budget'!$K$18&gt;0,'4.) Yearly Budget'!K21,'4.) Yearly Budget'!J21)</f>
        <v>0</v>
      </c>
      <c r="K21" s="335">
        <f t="shared" si="4"/>
        <v>0</v>
      </c>
      <c r="L21" s="238"/>
      <c r="M21" s="83">
        <f>IF('4.) Yearly Budget'!$N$18&gt;0,'4.) Yearly Budget'!N21,'4.) Yearly Budget'!M21)</f>
        <v>0</v>
      </c>
      <c r="N21" s="335">
        <f t="shared" si="5"/>
        <v>0</v>
      </c>
      <c r="O21" s="238"/>
      <c r="P21" s="83">
        <f>IF('4.) Yearly Budget'!$Q$18&gt;0,'4.) Yearly Budget'!Q21,'4.) Yearly Budget'!P21)</f>
        <v>0</v>
      </c>
      <c r="Q21" s="335">
        <f t="shared" si="6"/>
        <v>0</v>
      </c>
      <c r="R21" s="238"/>
      <c r="S21" s="83">
        <f>IF('4.) Yearly Budget'!$T$18&gt;0,'4.) Yearly Budget'!T21,'4.) Yearly Budget'!S21)</f>
        <v>0</v>
      </c>
      <c r="T21" s="86">
        <f t="shared" si="7"/>
        <v>0</v>
      </c>
      <c r="U21" s="239">
        <f t="shared" si="8"/>
        <v>0</v>
      </c>
      <c r="V21" s="337">
        <f t="shared" si="9"/>
        <v>0</v>
      </c>
      <c r="W21" s="337">
        <f t="shared" si="10"/>
        <v>0</v>
      </c>
      <c r="X21" s="337">
        <f>'4.) Yearly Budget'!W21</f>
        <v>0</v>
      </c>
      <c r="Y21" s="338">
        <f t="shared" si="11"/>
        <v>0</v>
      </c>
      <c r="Z21" s="339">
        <f>SUM(IF(I$18&lt;&gt;0,'4.) Yearly Budget'!J21,0)+IF(L$18&lt;&gt;0,'4.) Yearly Budget'!M21,0)+IF(O$18&lt;&gt;0,'4.) Yearly Budget'!P21,0)+IF(R$18&lt;&gt;0,'4.) Yearly Budget'!S21,0))</f>
        <v>0</v>
      </c>
      <c r="AA21" s="339">
        <f t="shared" si="12"/>
        <v>0</v>
      </c>
      <c r="AB21" s="339">
        <f>'4.) Yearly Budget'!V21</f>
        <v>0</v>
      </c>
      <c r="AC21" s="340">
        <f t="shared" si="13"/>
        <v>0</v>
      </c>
      <c r="AD21" s="339">
        <f>IF(U$18&lt;&gt;0,'4.) Yearly Budget'!I21/$AM$18,0)</f>
        <v>0</v>
      </c>
      <c r="AE21" s="86">
        <f t="shared" si="14"/>
        <v>0</v>
      </c>
      <c r="AF21" s="240"/>
    </row>
    <row r="22" spans="1:39" s="53" customFormat="1">
      <c r="A22" s="221">
        <f t="shared" si="0"/>
        <v>22</v>
      </c>
      <c r="B22" s="77"/>
      <c r="C22" s="41"/>
      <c r="D22" s="41"/>
      <c r="E22" s="44" t="str">
        <f>CONTROL!B56</f>
        <v>-</v>
      </c>
      <c r="F22" s="44"/>
      <c r="G22" s="282">
        <f>CONTROL!C56</f>
        <v>0</v>
      </c>
      <c r="H22" s="76"/>
      <c r="I22" s="238"/>
      <c r="J22" s="83">
        <f>IF('4.) Yearly Budget'!$K$18&gt;0,'4.) Yearly Budget'!K22,'4.) Yearly Budget'!J22)</f>
        <v>0</v>
      </c>
      <c r="K22" s="335">
        <f t="shared" si="4"/>
        <v>0</v>
      </c>
      <c r="L22" s="238"/>
      <c r="M22" s="83">
        <f>IF('4.) Yearly Budget'!$N$18&gt;0,'4.) Yearly Budget'!N22,'4.) Yearly Budget'!M22)</f>
        <v>0</v>
      </c>
      <c r="N22" s="335">
        <f t="shared" si="5"/>
        <v>0</v>
      </c>
      <c r="O22" s="238"/>
      <c r="P22" s="83">
        <f>IF('4.) Yearly Budget'!$Q$18&gt;0,'4.) Yearly Budget'!Q22,'4.) Yearly Budget'!P22)</f>
        <v>0</v>
      </c>
      <c r="Q22" s="335">
        <f t="shared" si="6"/>
        <v>0</v>
      </c>
      <c r="R22" s="238"/>
      <c r="S22" s="83">
        <f>IF('4.) Yearly Budget'!$T$18&gt;0,'4.) Yearly Budget'!T22,'4.) Yearly Budget'!S22)</f>
        <v>0</v>
      </c>
      <c r="T22" s="86">
        <f t="shared" si="7"/>
        <v>0</v>
      </c>
      <c r="U22" s="239">
        <f t="shared" si="8"/>
        <v>0</v>
      </c>
      <c r="V22" s="337">
        <f t="shared" si="9"/>
        <v>0</v>
      </c>
      <c r="W22" s="337">
        <f t="shared" si="10"/>
        <v>0</v>
      </c>
      <c r="X22" s="337">
        <f>'4.) Yearly Budget'!W22</f>
        <v>0</v>
      </c>
      <c r="Y22" s="338">
        <f t="shared" si="11"/>
        <v>0</v>
      </c>
      <c r="Z22" s="339">
        <f>SUM(IF(I$18&lt;&gt;0,'4.) Yearly Budget'!J22,0)+IF(L$18&lt;&gt;0,'4.) Yearly Budget'!M22,0)+IF(O$18&lt;&gt;0,'4.) Yearly Budget'!P22,0)+IF(R$18&lt;&gt;0,'4.) Yearly Budget'!S22,0))</f>
        <v>0</v>
      </c>
      <c r="AA22" s="339">
        <f t="shared" si="12"/>
        <v>0</v>
      </c>
      <c r="AB22" s="339">
        <f>'4.) Yearly Budget'!V22</f>
        <v>0</v>
      </c>
      <c r="AC22" s="340">
        <f t="shared" si="13"/>
        <v>0</v>
      </c>
      <c r="AD22" s="339">
        <f>IF(U$18&lt;&gt;0,'4.) Yearly Budget'!I22/$AM$18,0)</f>
        <v>0</v>
      </c>
      <c r="AE22" s="86">
        <f t="shared" si="14"/>
        <v>0</v>
      </c>
      <c r="AF22" s="240"/>
    </row>
    <row r="23" spans="1:39" s="53" customFormat="1">
      <c r="A23" s="221">
        <f t="shared" si="0"/>
        <v>23</v>
      </c>
      <c r="B23" s="77"/>
      <c r="C23" s="41"/>
      <c r="D23" s="41"/>
      <c r="E23" s="44" t="str">
        <f>CONTROL!B57</f>
        <v>-</v>
      </c>
      <c r="F23" s="44"/>
      <c r="G23" s="282">
        <f>CONTROL!C57</f>
        <v>0</v>
      </c>
      <c r="H23" s="76"/>
      <c r="I23" s="238"/>
      <c r="J23" s="83">
        <f>IF('4.) Yearly Budget'!$K$18&gt;0,'4.) Yearly Budget'!K23,'4.) Yearly Budget'!J23)</f>
        <v>0</v>
      </c>
      <c r="K23" s="335">
        <f t="shared" si="4"/>
        <v>0</v>
      </c>
      <c r="L23" s="238"/>
      <c r="M23" s="83">
        <f>IF('4.) Yearly Budget'!$N$18&gt;0,'4.) Yearly Budget'!N23,'4.) Yearly Budget'!M23)</f>
        <v>0</v>
      </c>
      <c r="N23" s="335">
        <f t="shared" si="5"/>
        <v>0</v>
      </c>
      <c r="O23" s="238"/>
      <c r="P23" s="83">
        <f>IF('4.) Yearly Budget'!$Q$18&gt;0,'4.) Yearly Budget'!Q23,'4.) Yearly Budget'!P23)</f>
        <v>0</v>
      </c>
      <c r="Q23" s="335">
        <f t="shared" si="6"/>
        <v>0</v>
      </c>
      <c r="R23" s="238"/>
      <c r="S23" s="83">
        <f>IF('4.) Yearly Budget'!$T$18&gt;0,'4.) Yearly Budget'!T23,'4.) Yearly Budget'!S23)</f>
        <v>0</v>
      </c>
      <c r="T23" s="86">
        <f t="shared" si="7"/>
        <v>0</v>
      </c>
      <c r="U23" s="239">
        <f t="shared" si="8"/>
        <v>0</v>
      </c>
      <c r="V23" s="337">
        <f t="shared" si="9"/>
        <v>0</v>
      </c>
      <c r="W23" s="337">
        <f t="shared" si="10"/>
        <v>0</v>
      </c>
      <c r="X23" s="337">
        <f>'4.) Yearly Budget'!W23</f>
        <v>0</v>
      </c>
      <c r="Y23" s="338">
        <f t="shared" si="11"/>
        <v>0</v>
      </c>
      <c r="Z23" s="339">
        <f>SUM(IF(I$18&lt;&gt;0,'4.) Yearly Budget'!J23,0)+IF(L$18&lt;&gt;0,'4.) Yearly Budget'!M23,0)+IF(O$18&lt;&gt;0,'4.) Yearly Budget'!P23,0)+IF(R$18&lt;&gt;0,'4.) Yearly Budget'!S23,0))</f>
        <v>0</v>
      </c>
      <c r="AA23" s="339">
        <f t="shared" si="12"/>
        <v>0</v>
      </c>
      <c r="AB23" s="339">
        <f>'4.) Yearly Budget'!V23</f>
        <v>0</v>
      </c>
      <c r="AC23" s="340">
        <f t="shared" si="13"/>
        <v>0</v>
      </c>
      <c r="AD23" s="339">
        <f>IF(U$18&lt;&gt;0,'4.) Yearly Budget'!I23/$AM$18,0)</f>
        <v>0</v>
      </c>
      <c r="AE23" s="86">
        <f t="shared" si="14"/>
        <v>0</v>
      </c>
      <c r="AF23" s="240"/>
    </row>
    <row r="24" spans="1:39" s="53" customFormat="1">
      <c r="A24" s="221">
        <f t="shared" si="0"/>
        <v>24</v>
      </c>
      <c r="B24" s="77"/>
      <c r="C24" s="41"/>
      <c r="D24" s="41"/>
      <c r="E24" s="44" t="str">
        <f>CONTROL!B58</f>
        <v>-</v>
      </c>
      <c r="F24" s="44"/>
      <c r="G24" s="282">
        <f>CONTROL!C58</f>
        <v>0</v>
      </c>
      <c r="H24" s="76"/>
      <c r="I24" s="238"/>
      <c r="J24" s="83">
        <f>IF('4.) Yearly Budget'!$K$18&gt;0,'4.) Yearly Budget'!K24,'4.) Yearly Budget'!J24)</f>
        <v>0</v>
      </c>
      <c r="K24" s="335">
        <f t="shared" si="4"/>
        <v>0</v>
      </c>
      <c r="L24" s="238"/>
      <c r="M24" s="83">
        <f>IF('4.) Yearly Budget'!$N$18&gt;0,'4.) Yearly Budget'!N24,'4.) Yearly Budget'!M24)</f>
        <v>0</v>
      </c>
      <c r="N24" s="335">
        <f t="shared" si="5"/>
        <v>0</v>
      </c>
      <c r="O24" s="238"/>
      <c r="P24" s="83">
        <f>IF('4.) Yearly Budget'!$Q$18&gt;0,'4.) Yearly Budget'!Q24,'4.) Yearly Budget'!P24)</f>
        <v>0</v>
      </c>
      <c r="Q24" s="335">
        <f t="shared" si="6"/>
        <v>0</v>
      </c>
      <c r="R24" s="238"/>
      <c r="S24" s="83">
        <f>IF('4.) Yearly Budget'!$T$18&gt;0,'4.) Yearly Budget'!T24,'4.) Yearly Budget'!S24)</f>
        <v>0</v>
      </c>
      <c r="T24" s="86">
        <f t="shared" si="7"/>
        <v>0</v>
      </c>
      <c r="U24" s="239">
        <f t="shared" si="8"/>
        <v>0</v>
      </c>
      <c r="V24" s="337">
        <f t="shared" si="9"/>
        <v>0</v>
      </c>
      <c r="W24" s="337">
        <f t="shared" si="10"/>
        <v>0</v>
      </c>
      <c r="X24" s="337">
        <f>'4.) Yearly Budget'!W24</f>
        <v>0</v>
      </c>
      <c r="Y24" s="338">
        <f t="shared" si="11"/>
        <v>0</v>
      </c>
      <c r="Z24" s="339">
        <f>SUM(IF(I$18&lt;&gt;0,'4.) Yearly Budget'!J24,0)+IF(L$18&lt;&gt;0,'4.) Yearly Budget'!M24,0)+IF(O$18&lt;&gt;0,'4.) Yearly Budget'!P24,0)+IF(R$18&lt;&gt;0,'4.) Yearly Budget'!S24,0))</f>
        <v>0</v>
      </c>
      <c r="AA24" s="339">
        <f t="shared" si="12"/>
        <v>0</v>
      </c>
      <c r="AB24" s="339">
        <f>'4.) Yearly Budget'!V24</f>
        <v>0</v>
      </c>
      <c r="AC24" s="340">
        <f t="shared" si="13"/>
        <v>0</v>
      </c>
      <c r="AD24" s="339">
        <f>IF(U$18&lt;&gt;0,'4.) Yearly Budget'!I24/$AM$18,0)</f>
        <v>0</v>
      </c>
      <c r="AE24" s="86">
        <f t="shared" si="14"/>
        <v>0</v>
      </c>
      <c r="AF24" s="240"/>
    </row>
    <row r="25" spans="1:39" s="53" customFormat="1">
      <c r="A25" s="221">
        <f t="shared" si="0"/>
        <v>25</v>
      </c>
      <c r="B25" s="77"/>
      <c r="C25" s="41"/>
      <c r="D25" s="41"/>
      <c r="E25" s="44" t="str">
        <f>CONTROL!B59</f>
        <v>-</v>
      </c>
      <c r="F25" s="44"/>
      <c r="G25" s="282">
        <f>CONTROL!C59</f>
        <v>0</v>
      </c>
      <c r="H25" s="76"/>
      <c r="I25" s="238"/>
      <c r="J25" s="83">
        <f>IF('4.) Yearly Budget'!$K$18&gt;0,'4.) Yearly Budget'!K25,'4.) Yearly Budget'!J25)</f>
        <v>0</v>
      </c>
      <c r="K25" s="335">
        <f t="shared" si="4"/>
        <v>0</v>
      </c>
      <c r="L25" s="238"/>
      <c r="M25" s="83">
        <f>IF('4.) Yearly Budget'!$N$18&gt;0,'4.) Yearly Budget'!N25,'4.) Yearly Budget'!M25)</f>
        <v>0</v>
      </c>
      <c r="N25" s="335">
        <f t="shared" si="5"/>
        <v>0</v>
      </c>
      <c r="O25" s="238"/>
      <c r="P25" s="83">
        <f>IF('4.) Yearly Budget'!$Q$18&gt;0,'4.) Yearly Budget'!Q25,'4.) Yearly Budget'!P25)</f>
        <v>0</v>
      </c>
      <c r="Q25" s="335">
        <f t="shared" si="6"/>
        <v>0</v>
      </c>
      <c r="R25" s="238"/>
      <c r="S25" s="83">
        <f>IF('4.) Yearly Budget'!$T$18&gt;0,'4.) Yearly Budget'!T25,'4.) Yearly Budget'!S25)</f>
        <v>0</v>
      </c>
      <c r="T25" s="86">
        <f t="shared" si="7"/>
        <v>0</v>
      </c>
      <c r="U25" s="239">
        <f t="shared" si="8"/>
        <v>0</v>
      </c>
      <c r="V25" s="337">
        <f t="shared" si="9"/>
        <v>0</v>
      </c>
      <c r="W25" s="337">
        <f t="shared" si="10"/>
        <v>0</v>
      </c>
      <c r="X25" s="337">
        <f>'4.) Yearly Budget'!W25</f>
        <v>0</v>
      </c>
      <c r="Y25" s="338">
        <f t="shared" si="11"/>
        <v>0</v>
      </c>
      <c r="Z25" s="339">
        <f>SUM(IF(I$18&lt;&gt;0,'4.) Yearly Budget'!J25,0)+IF(L$18&lt;&gt;0,'4.) Yearly Budget'!M25,0)+IF(O$18&lt;&gt;0,'4.) Yearly Budget'!P25,0)+IF(R$18&lt;&gt;0,'4.) Yearly Budget'!S25,0))</f>
        <v>0</v>
      </c>
      <c r="AA25" s="339">
        <f t="shared" si="12"/>
        <v>0</v>
      </c>
      <c r="AB25" s="339">
        <f>'4.) Yearly Budget'!V25</f>
        <v>0</v>
      </c>
      <c r="AC25" s="340">
        <f t="shared" si="13"/>
        <v>0</v>
      </c>
      <c r="AD25" s="339">
        <f>IF(U$18&lt;&gt;0,'4.) Yearly Budget'!I25/$AM$18,0)</f>
        <v>0</v>
      </c>
      <c r="AE25" s="86">
        <f t="shared" si="14"/>
        <v>0</v>
      </c>
      <c r="AF25" s="240"/>
    </row>
    <row r="26" spans="1:39" s="53" customFormat="1">
      <c r="A26" s="221">
        <f t="shared" si="0"/>
        <v>26</v>
      </c>
      <c r="B26" s="77"/>
      <c r="C26" s="41"/>
      <c r="D26" s="41"/>
      <c r="E26" s="44" t="str">
        <f>CONTROL!B60</f>
        <v>-</v>
      </c>
      <c r="F26" s="44"/>
      <c r="G26" s="282">
        <f>CONTROL!C60</f>
        <v>0</v>
      </c>
      <c r="H26" s="76"/>
      <c r="I26" s="238"/>
      <c r="J26" s="83">
        <f>IF('4.) Yearly Budget'!$K$18&gt;0,'4.) Yearly Budget'!K26,'4.) Yearly Budget'!J26)</f>
        <v>0</v>
      </c>
      <c r="K26" s="335">
        <f t="shared" si="4"/>
        <v>0</v>
      </c>
      <c r="L26" s="238"/>
      <c r="M26" s="83">
        <f>IF('4.) Yearly Budget'!$N$18&gt;0,'4.) Yearly Budget'!N26,'4.) Yearly Budget'!M26)</f>
        <v>0</v>
      </c>
      <c r="N26" s="335">
        <f t="shared" si="5"/>
        <v>0</v>
      </c>
      <c r="O26" s="238"/>
      <c r="P26" s="83">
        <f>IF('4.) Yearly Budget'!$Q$18&gt;0,'4.) Yearly Budget'!Q26,'4.) Yearly Budget'!P26)</f>
        <v>0</v>
      </c>
      <c r="Q26" s="335">
        <f t="shared" si="6"/>
        <v>0</v>
      </c>
      <c r="R26" s="238"/>
      <c r="S26" s="83">
        <f>IF('4.) Yearly Budget'!$T$18&gt;0,'4.) Yearly Budget'!T26,'4.) Yearly Budget'!S26)</f>
        <v>0</v>
      </c>
      <c r="T26" s="86">
        <f t="shared" si="7"/>
        <v>0</v>
      </c>
      <c r="U26" s="239">
        <f t="shared" si="8"/>
        <v>0</v>
      </c>
      <c r="V26" s="337">
        <f t="shared" si="9"/>
        <v>0</v>
      </c>
      <c r="W26" s="337">
        <f t="shared" si="10"/>
        <v>0</v>
      </c>
      <c r="X26" s="337">
        <f>'4.) Yearly Budget'!W26</f>
        <v>0</v>
      </c>
      <c r="Y26" s="338">
        <f t="shared" si="11"/>
        <v>0</v>
      </c>
      <c r="Z26" s="339">
        <f>SUM(IF(I$18&lt;&gt;0,'4.) Yearly Budget'!J26,0)+IF(L$18&lt;&gt;0,'4.) Yearly Budget'!M26,0)+IF(O$18&lt;&gt;0,'4.) Yearly Budget'!P26,0)+IF(R$18&lt;&gt;0,'4.) Yearly Budget'!S26,0))</f>
        <v>0</v>
      </c>
      <c r="AA26" s="339">
        <f t="shared" si="12"/>
        <v>0</v>
      </c>
      <c r="AB26" s="339">
        <f>'4.) Yearly Budget'!V26</f>
        <v>0</v>
      </c>
      <c r="AC26" s="340">
        <f t="shared" si="13"/>
        <v>0</v>
      </c>
      <c r="AD26" s="339">
        <f>IF(U$18&lt;&gt;0,'4.) Yearly Budget'!I26/$AM$18,0)</f>
        <v>0</v>
      </c>
      <c r="AE26" s="86">
        <f t="shared" si="14"/>
        <v>0</v>
      </c>
      <c r="AF26" s="240"/>
    </row>
    <row r="27" spans="1:39" s="53" customFormat="1">
      <c r="A27" s="221">
        <f t="shared" si="0"/>
        <v>27</v>
      </c>
      <c r="B27" s="77"/>
      <c r="C27" s="41"/>
      <c r="D27" s="41"/>
      <c r="E27" s="44" t="str">
        <f>CONTROL!B61</f>
        <v>-</v>
      </c>
      <c r="F27" s="44"/>
      <c r="G27" s="282">
        <f>CONTROL!C61</f>
        <v>0</v>
      </c>
      <c r="H27" s="76"/>
      <c r="I27" s="238"/>
      <c r="J27" s="83">
        <f>IF('4.) Yearly Budget'!$K$18&gt;0,'4.) Yearly Budget'!K27,'4.) Yearly Budget'!J27)</f>
        <v>0</v>
      </c>
      <c r="K27" s="335">
        <f t="shared" si="4"/>
        <v>0</v>
      </c>
      <c r="L27" s="238"/>
      <c r="M27" s="83">
        <f>IF('4.) Yearly Budget'!$N$18&gt;0,'4.) Yearly Budget'!N27,'4.) Yearly Budget'!M27)</f>
        <v>0</v>
      </c>
      <c r="N27" s="335">
        <f t="shared" si="5"/>
        <v>0</v>
      </c>
      <c r="O27" s="238"/>
      <c r="P27" s="83">
        <f>IF('4.) Yearly Budget'!$Q$18&gt;0,'4.) Yearly Budget'!Q27,'4.) Yearly Budget'!P27)</f>
        <v>0</v>
      </c>
      <c r="Q27" s="335">
        <f t="shared" si="6"/>
        <v>0</v>
      </c>
      <c r="R27" s="238"/>
      <c r="S27" s="83">
        <f>IF('4.) Yearly Budget'!$T$18&gt;0,'4.) Yearly Budget'!T27,'4.) Yearly Budget'!S27)</f>
        <v>0</v>
      </c>
      <c r="T27" s="86">
        <f t="shared" si="7"/>
        <v>0</v>
      </c>
      <c r="U27" s="239">
        <f t="shared" si="8"/>
        <v>0</v>
      </c>
      <c r="V27" s="337">
        <f t="shared" si="9"/>
        <v>0</v>
      </c>
      <c r="W27" s="337">
        <f t="shared" si="10"/>
        <v>0</v>
      </c>
      <c r="X27" s="337">
        <f>'4.) Yearly Budget'!W27</f>
        <v>0</v>
      </c>
      <c r="Y27" s="338">
        <f t="shared" si="11"/>
        <v>0</v>
      </c>
      <c r="Z27" s="339">
        <f>SUM(IF(I$18&lt;&gt;0,'4.) Yearly Budget'!J27,0)+IF(L$18&lt;&gt;0,'4.) Yearly Budget'!M27,0)+IF(O$18&lt;&gt;0,'4.) Yearly Budget'!P27,0)+IF(R$18&lt;&gt;0,'4.) Yearly Budget'!S27,0))</f>
        <v>0</v>
      </c>
      <c r="AA27" s="339">
        <f t="shared" si="12"/>
        <v>0</v>
      </c>
      <c r="AB27" s="339">
        <f>'4.) Yearly Budget'!V27</f>
        <v>0</v>
      </c>
      <c r="AC27" s="340">
        <f t="shared" si="13"/>
        <v>0</v>
      </c>
      <c r="AD27" s="339">
        <f>IF(U$18&lt;&gt;0,'4.) Yearly Budget'!I27/$AM$18,0)</f>
        <v>0</v>
      </c>
      <c r="AE27" s="86">
        <f t="shared" si="14"/>
        <v>0</v>
      </c>
      <c r="AF27" s="240"/>
    </row>
    <row r="28" spans="1:39" s="53" customFormat="1">
      <c r="A28" s="221">
        <f t="shared" si="0"/>
        <v>28</v>
      </c>
      <c r="B28" s="77"/>
      <c r="C28" s="41"/>
      <c r="D28" s="41"/>
      <c r="E28" s="44" t="str">
        <f>CONTROL!B62</f>
        <v>-</v>
      </c>
      <c r="F28" s="44"/>
      <c r="G28" s="282">
        <f>CONTROL!C62</f>
        <v>0</v>
      </c>
      <c r="H28" s="76"/>
      <c r="I28" s="238"/>
      <c r="J28" s="83">
        <f>IF('4.) Yearly Budget'!$K$18&gt;0,'4.) Yearly Budget'!K28,'4.) Yearly Budget'!J28)</f>
        <v>0</v>
      </c>
      <c r="K28" s="335">
        <f t="shared" si="4"/>
        <v>0</v>
      </c>
      <c r="L28" s="238"/>
      <c r="M28" s="83">
        <f>IF('4.) Yearly Budget'!$N$18&gt;0,'4.) Yearly Budget'!N28,'4.) Yearly Budget'!M28)</f>
        <v>0</v>
      </c>
      <c r="N28" s="335">
        <f t="shared" si="5"/>
        <v>0</v>
      </c>
      <c r="O28" s="238"/>
      <c r="P28" s="83">
        <f>IF('4.) Yearly Budget'!$Q$18&gt;0,'4.) Yearly Budget'!Q28,'4.) Yearly Budget'!P28)</f>
        <v>0</v>
      </c>
      <c r="Q28" s="335">
        <f t="shared" si="6"/>
        <v>0</v>
      </c>
      <c r="R28" s="238"/>
      <c r="S28" s="83">
        <f>IF('4.) Yearly Budget'!$T$18&gt;0,'4.) Yearly Budget'!T28,'4.) Yearly Budget'!S28)</f>
        <v>0</v>
      </c>
      <c r="T28" s="86">
        <f t="shared" si="7"/>
        <v>0</v>
      </c>
      <c r="U28" s="239">
        <f t="shared" si="8"/>
        <v>0</v>
      </c>
      <c r="V28" s="337">
        <f t="shared" si="9"/>
        <v>0</v>
      </c>
      <c r="W28" s="337">
        <f t="shared" si="10"/>
        <v>0</v>
      </c>
      <c r="X28" s="337">
        <f>'4.) Yearly Budget'!W28</f>
        <v>0</v>
      </c>
      <c r="Y28" s="338">
        <f t="shared" si="11"/>
        <v>0</v>
      </c>
      <c r="Z28" s="339">
        <f>SUM(IF(I$18&lt;&gt;0,'4.) Yearly Budget'!J28,0)+IF(L$18&lt;&gt;0,'4.) Yearly Budget'!M28,0)+IF(O$18&lt;&gt;0,'4.) Yearly Budget'!P28,0)+IF(R$18&lt;&gt;0,'4.) Yearly Budget'!S28,0))</f>
        <v>0</v>
      </c>
      <c r="AA28" s="339">
        <f t="shared" si="12"/>
        <v>0</v>
      </c>
      <c r="AB28" s="339">
        <f>'4.) Yearly Budget'!V28</f>
        <v>0</v>
      </c>
      <c r="AC28" s="340">
        <f t="shared" si="13"/>
        <v>0</v>
      </c>
      <c r="AD28" s="339">
        <f>IF(U$18&lt;&gt;0,'4.) Yearly Budget'!I28/$AM$18,0)</f>
        <v>0</v>
      </c>
      <c r="AE28" s="86">
        <f t="shared" si="14"/>
        <v>0</v>
      </c>
      <c r="AF28" s="240"/>
    </row>
    <row r="29" spans="1:39" s="53" customFormat="1">
      <c r="A29" s="221">
        <f t="shared" si="0"/>
        <v>29</v>
      </c>
      <c r="B29" s="77"/>
      <c r="C29" s="41"/>
      <c r="D29" s="41"/>
      <c r="E29" s="44" t="str">
        <f>CONTROL!B63</f>
        <v>-</v>
      </c>
      <c r="F29" s="44"/>
      <c r="G29" s="282">
        <f>CONTROL!C63</f>
        <v>0</v>
      </c>
      <c r="H29" s="76"/>
      <c r="I29" s="238"/>
      <c r="J29" s="83">
        <f>IF('4.) Yearly Budget'!$K$18&gt;0,'4.) Yearly Budget'!K29,'4.) Yearly Budget'!J29)</f>
        <v>0</v>
      </c>
      <c r="K29" s="335">
        <f t="shared" si="4"/>
        <v>0</v>
      </c>
      <c r="L29" s="238"/>
      <c r="M29" s="83">
        <f>IF('4.) Yearly Budget'!$N$18&gt;0,'4.) Yearly Budget'!N29,'4.) Yearly Budget'!M29)</f>
        <v>0</v>
      </c>
      <c r="N29" s="335">
        <f t="shared" si="5"/>
        <v>0</v>
      </c>
      <c r="O29" s="238"/>
      <c r="P29" s="83">
        <f>IF('4.) Yearly Budget'!$Q$18&gt;0,'4.) Yearly Budget'!Q29,'4.) Yearly Budget'!P29)</f>
        <v>0</v>
      </c>
      <c r="Q29" s="335">
        <f t="shared" si="6"/>
        <v>0</v>
      </c>
      <c r="R29" s="238"/>
      <c r="S29" s="83">
        <f>IF('4.) Yearly Budget'!$T$18&gt;0,'4.) Yearly Budget'!T29,'4.) Yearly Budget'!S29)</f>
        <v>0</v>
      </c>
      <c r="T29" s="86">
        <f t="shared" si="7"/>
        <v>0</v>
      </c>
      <c r="U29" s="239">
        <f t="shared" si="8"/>
        <v>0</v>
      </c>
      <c r="V29" s="337">
        <f t="shared" si="9"/>
        <v>0</v>
      </c>
      <c r="W29" s="337">
        <f t="shared" si="10"/>
        <v>0</v>
      </c>
      <c r="X29" s="337">
        <f>'4.) Yearly Budget'!W29</f>
        <v>0</v>
      </c>
      <c r="Y29" s="338">
        <f t="shared" si="11"/>
        <v>0</v>
      </c>
      <c r="Z29" s="339">
        <f>SUM(IF(I$18&lt;&gt;0,'4.) Yearly Budget'!J29,0)+IF(L$18&lt;&gt;0,'4.) Yearly Budget'!M29,0)+IF(O$18&lt;&gt;0,'4.) Yearly Budget'!P29,0)+IF(R$18&lt;&gt;0,'4.) Yearly Budget'!S29,0))</f>
        <v>0</v>
      </c>
      <c r="AA29" s="339">
        <f t="shared" si="12"/>
        <v>0</v>
      </c>
      <c r="AB29" s="339">
        <f>'4.) Yearly Budget'!V29</f>
        <v>0</v>
      </c>
      <c r="AC29" s="340">
        <f t="shared" si="13"/>
        <v>0</v>
      </c>
      <c r="AD29" s="339">
        <f>IF(U$18&lt;&gt;0,'4.) Yearly Budget'!I29/$AM$18,0)</f>
        <v>0</v>
      </c>
      <c r="AE29" s="86">
        <f t="shared" si="14"/>
        <v>0</v>
      </c>
      <c r="AF29" s="240"/>
    </row>
    <row r="30" spans="1:39" s="53" customFormat="1">
      <c r="A30" s="221">
        <f t="shared" si="0"/>
        <v>30</v>
      </c>
      <c r="B30" s="77"/>
      <c r="C30" s="41"/>
      <c r="D30" s="41"/>
      <c r="E30" s="44" t="str">
        <f>CONTROL!B64</f>
        <v>-</v>
      </c>
      <c r="F30" s="44"/>
      <c r="G30" s="282">
        <f>CONTROL!C64</f>
        <v>0</v>
      </c>
      <c r="H30" s="76"/>
      <c r="I30" s="238"/>
      <c r="J30" s="83">
        <f>IF('4.) Yearly Budget'!$K$18&gt;0,'4.) Yearly Budget'!K30,'4.) Yearly Budget'!J30)</f>
        <v>0</v>
      </c>
      <c r="K30" s="335">
        <f t="shared" si="4"/>
        <v>0</v>
      </c>
      <c r="L30" s="238"/>
      <c r="M30" s="83">
        <f>IF('4.) Yearly Budget'!$N$18&gt;0,'4.) Yearly Budget'!N30,'4.) Yearly Budget'!M30)</f>
        <v>0</v>
      </c>
      <c r="N30" s="335">
        <f t="shared" si="5"/>
        <v>0</v>
      </c>
      <c r="O30" s="238"/>
      <c r="P30" s="83">
        <f>IF('4.) Yearly Budget'!$Q$18&gt;0,'4.) Yearly Budget'!Q30,'4.) Yearly Budget'!P30)</f>
        <v>0</v>
      </c>
      <c r="Q30" s="335">
        <f t="shared" si="6"/>
        <v>0</v>
      </c>
      <c r="R30" s="238"/>
      <c r="S30" s="83">
        <f>IF('4.) Yearly Budget'!$T$18&gt;0,'4.) Yearly Budget'!T30,'4.) Yearly Budget'!S30)</f>
        <v>0</v>
      </c>
      <c r="T30" s="86">
        <f t="shared" si="7"/>
        <v>0</v>
      </c>
      <c r="U30" s="239">
        <f t="shared" si="8"/>
        <v>0</v>
      </c>
      <c r="V30" s="337">
        <f t="shared" si="9"/>
        <v>0</v>
      </c>
      <c r="W30" s="337">
        <f t="shared" si="10"/>
        <v>0</v>
      </c>
      <c r="X30" s="337">
        <f>'4.) Yearly Budget'!W30</f>
        <v>0</v>
      </c>
      <c r="Y30" s="338">
        <f t="shared" si="11"/>
        <v>0</v>
      </c>
      <c r="Z30" s="339">
        <f>SUM(IF(I$18&lt;&gt;0,'4.) Yearly Budget'!J30,0)+IF(L$18&lt;&gt;0,'4.) Yearly Budget'!M30,0)+IF(O$18&lt;&gt;0,'4.) Yearly Budget'!P30,0)+IF(R$18&lt;&gt;0,'4.) Yearly Budget'!S30,0))</f>
        <v>0</v>
      </c>
      <c r="AA30" s="339">
        <f t="shared" si="12"/>
        <v>0</v>
      </c>
      <c r="AB30" s="339">
        <f>'4.) Yearly Budget'!V30</f>
        <v>0</v>
      </c>
      <c r="AC30" s="340">
        <f t="shared" si="13"/>
        <v>0</v>
      </c>
      <c r="AD30" s="339">
        <f>IF(U$18&lt;&gt;0,'4.) Yearly Budget'!I30/$AM$18,0)</f>
        <v>0</v>
      </c>
      <c r="AE30" s="86">
        <f t="shared" si="14"/>
        <v>0</v>
      </c>
      <c r="AF30" s="240"/>
    </row>
    <row r="31" spans="1:39" s="53" customFormat="1">
      <c r="A31" s="221">
        <f t="shared" si="0"/>
        <v>31</v>
      </c>
      <c r="B31" s="77"/>
      <c r="C31" s="41"/>
      <c r="D31" s="41"/>
      <c r="E31" s="44" t="str">
        <f>CONTROL!B65</f>
        <v>-</v>
      </c>
      <c r="F31" s="44"/>
      <c r="G31" s="282">
        <f>CONTROL!C65</f>
        <v>0</v>
      </c>
      <c r="H31" s="76"/>
      <c r="I31" s="238"/>
      <c r="J31" s="83">
        <f>IF('4.) Yearly Budget'!$K$18&gt;0,'4.) Yearly Budget'!K31,'4.) Yearly Budget'!J31)</f>
        <v>0</v>
      </c>
      <c r="K31" s="335">
        <f t="shared" si="4"/>
        <v>0</v>
      </c>
      <c r="L31" s="238"/>
      <c r="M31" s="83">
        <f>IF('4.) Yearly Budget'!$N$18&gt;0,'4.) Yearly Budget'!N31,'4.) Yearly Budget'!M31)</f>
        <v>0</v>
      </c>
      <c r="N31" s="335">
        <f t="shared" si="5"/>
        <v>0</v>
      </c>
      <c r="O31" s="238"/>
      <c r="P31" s="83">
        <f>IF('4.) Yearly Budget'!$Q$18&gt;0,'4.) Yearly Budget'!Q31,'4.) Yearly Budget'!P31)</f>
        <v>0</v>
      </c>
      <c r="Q31" s="335">
        <f t="shared" si="6"/>
        <v>0</v>
      </c>
      <c r="R31" s="238"/>
      <c r="S31" s="83">
        <f>IF('4.) Yearly Budget'!$T$18&gt;0,'4.) Yearly Budget'!T31,'4.) Yearly Budget'!S31)</f>
        <v>0</v>
      </c>
      <c r="T31" s="86">
        <f t="shared" si="7"/>
        <v>0</v>
      </c>
      <c r="U31" s="239">
        <f t="shared" si="8"/>
        <v>0</v>
      </c>
      <c r="V31" s="337">
        <f t="shared" si="9"/>
        <v>0</v>
      </c>
      <c r="W31" s="337">
        <f t="shared" si="10"/>
        <v>0</v>
      </c>
      <c r="X31" s="337">
        <f>'4.) Yearly Budget'!W31</f>
        <v>0</v>
      </c>
      <c r="Y31" s="338">
        <f t="shared" si="11"/>
        <v>0</v>
      </c>
      <c r="Z31" s="339">
        <f>SUM(IF(I$18&lt;&gt;0,'4.) Yearly Budget'!J31,0)+IF(L$18&lt;&gt;0,'4.) Yearly Budget'!M31,0)+IF(O$18&lt;&gt;0,'4.) Yearly Budget'!P31,0)+IF(R$18&lt;&gt;0,'4.) Yearly Budget'!S31,0))</f>
        <v>0</v>
      </c>
      <c r="AA31" s="339">
        <f t="shared" si="12"/>
        <v>0</v>
      </c>
      <c r="AB31" s="339">
        <f>'4.) Yearly Budget'!V31</f>
        <v>0</v>
      </c>
      <c r="AC31" s="340">
        <f t="shared" si="13"/>
        <v>0</v>
      </c>
      <c r="AD31" s="339">
        <f>IF(U$18&lt;&gt;0,'4.) Yearly Budget'!I31/$AM$18,0)</f>
        <v>0</v>
      </c>
      <c r="AE31" s="86">
        <f t="shared" si="14"/>
        <v>0</v>
      </c>
      <c r="AF31" s="240"/>
    </row>
    <row r="32" spans="1:39" s="53" customFormat="1">
      <c r="A32" s="221">
        <f t="shared" si="0"/>
        <v>32</v>
      </c>
      <c r="B32" s="77"/>
      <c r="C32" s="41"/>
      <c r="D32" s="41"/>
      <c r="E32" s="44" t="str">
        <f>CONTROL!B66</f>
        <v>-</v>
      </c>
      <c r="F32" s="44"/>
      <c r="G32" s="282">
        <f>CONTROL!C66</f>
        <v>0</v>
      </c>
      <c r="H32" s="76"/>
      <c r="I32" s="238"/>
      <c r="J32" s="83">
        <f>IF('4.) Yearly Budget'!$K$18&gt;0,'4.) Yearly Budget'!K32,'4.) Yearly Budget'!J32)</f>
        <v>0</v>
      </c>
      <c r="K32" s="335">
        <f t="shared" si="4"/>
        <v>0</v>
      </c>
      <c r="L32" s="238"/>
      <c r="M32" s="83">
        <f>IF('4.) Yearly Budget'!$N$18&gt;0,'4.) Yearly Budget'!N32,'4.) Yearly Budget'!M32)</f>
        <v>0</v>
      </c>
      <c r="N32" s="335">
        <f t="shared" si="5"/>
        <v>0</v>
      </c>
      <c r="O32" s="238"/>
      <c r="P32" s="83">
        <f>IF('4.) Yearly Budget'!$Q$18&gt;0,'4.) Yearly Budget'!Q32,'4.) Yearly Budget'!P32)</f>
        <v>0</v>
      </c>
      <c r="Q32" s="335">
        <f t="shared" si="6"/>
        <v>0</v>
      </c>
      <c r="R32" s="238"/>
      <c r="S32" s="83">
        <f>IF('4.) Yearly Budget'!$T$18&gt;0,'4.) Yearly Budget'!T32,'4.) Yearly Budget'!S32)</f>
        <v>0</v>
      </c>
      <c r="T32" s="86">
        <f t="shared" si="7"/>
        <v>0</v>
      </c>
      <c r="U32" s="239">
        <f t="shared" si="8"/>
        <v>0</v>
      </c>
      <c r="V32" s="337">
        <f t="shared" si="9"/>
        <v>0</v>
      </c>
      <c r="W32" s="337">
        <f t="shared" si="10"/>
        <v>0</v>
      </c>
      <c r="X32" s="337">
        <f>'4.) Yearly Budget'!W32</f>
        <v>0</v>
      </c>
      <c r="Y32" s="338">
        <f t="shared" si="11"/>
        <v>0</v>
      </c>
      <c r="Z32" s="339">
        <f>SUM(IF(I$18&lt;&gt;0,'4.) Yearly Budget'!J32,0)+IF(L$18&lt;&gt;0,'4.) Yearly Budget'!M32,0)+IF(O$18&lt;&gt;0,'4.) Yearly Budget'!P32,0)+IF(R$18&lt;&gt;0,'4.) Yearly Budget'!S32,0))</f>
        <v>0</v>
      </c>
      <c r="AA32" s="339">
        <f t="shared" si="12"/>
        <v>0</v>
      </c>
      <c r="AB32" s="339">
        <f>'4.) Yearly Budget'!V32</f>
        <v>0</v>
      </c>
      <c r="AC32" s="340">
        <f t="shared" si="13"/>
        <v>0</v>
      </c>
      <c r="AD32" s="339">
        <f>IF(U$18&lt;&gt;0,'4.) Yearly Budget'!I32/$AM$18,0)</f>
        <v>0</v>
      </c>
      <c r="AE32" s="86">
        <f t="shared" si="14"/>
        <v>0</v>
      </c>
      <c r="AF32" s="240"/>
    </row>
    <row r="33" spans="1:32" s="53" customFormat="1">
      <c r="A33" s="221">
        <f t="shared" si="0"/>
        <v>33</v>
      </c>
      <c r="B33" s="77"/>
      <c r="C33" s="41"/>
      <c r="D33" s="41"/>
      <c r="E33" s="44" t="str">
        <f>"ALL OTHER School Districts: ( Count = "&amp;CONTROL!C104&amp;" )"</f>
        <v>ALL OTHER School Districts: ( Count = 0 )</v>
      </c>
      <c r="F33" s="44"/>
      <c r="G33" s="542">
        <f>CONTROL!F105</f>
        <v>0</v>
      </c>
      <c r="H33" s="76"/>
      <c r="I33" s="698"/>
      <c r="J33" s="83">
        <f>IF('4.) Yearly Budget'!$K$18&gt;0,'4.) Yearly Budget'!K33,'4.) Yearly Budget'!J33)</f>
        <v>0</v>
      </c>
      <c r="K33" s="335">
        <f t="shared" si="4"/>
        <v>0</v>
      </c>
      <c r="L33" s="238"/>
      <c r="M33" s="83">
        <f>IF('4.) Yearly Budget'!$N$18&gt;0,'4.) Yearly Budget'!N33,'4.) Yearly Budget'!M33)</f>
        <v>0</v>
      </c>
      <c r="N33" s="335">
        <f t="shared" si="5"/>
        <v>0</v>
      </c>
      <c r="O33" s="238"/>
      <c r="P33" s="83">
        <f>IF('4.) Yearly Budget'!$Q$18&gt;0,'4.) Yearly Budget'!Q33,'4.) Yearly Budget'!P33)</f>
        <v>0</v>
      </c>
      <c r="Q33" s="335">
        <f t="shared" si="6"/>
        <v>0</v>
      </c>
      <c r="R33" s="238"/>
      <c r="S33" s="83">
        <f>IF('4.) Yearly Budget'!$T$18&gt;0,'4.) Yearly Budget'!T33,'4.) Yearly Budget'!S33)</f>
        <v>0</v>
      </c>
      <c r="T33" s="86">
        <f t="shared" si="7"/>
        <v>0</v>
      </c>
      <c r="U33" s="239">
        <f t="shared" si="8"/>
        <v>0</v>
      </c>
      <c r="V33" s="337">
        <f t="shared" si="9"/>
        <v>0</v>
      </c>
      <c r="W33" s="337">
        <f t="shared" si="10"/>
        <v>0</v>
      </c>
      <c r="X33" s="337">
        <f>'4.) Yearly Budget'!W33</f>
        <v>0</v>
      </c>
      <c r="Y33" s="338">
        <f t="shared" si="11"/>
        <v>0</v>
      </c>
      <c r="Z33" s="339">
        <f>SUM(IF(I$18&lt;&gt;0,'4.) Yearly Budget'!J33,0)+IF(L$18&lt;&gt;0,'4.) Yearly Budget'!M33,0)+IF(O$18&lt;&gt;0,'4.) Yearly Budget'!P33,0)+IF(R$18&lt;&gt;0,'4.) Yearly Budget'!S33,0))</f>
        <v>0</v>
      </c>
      <c r="AA33" s="339">
        <f t="shared" si="12"/>
        <v>0</v>
      </c>
      <c r="AB33" s="339">
        <f>'4.) Yearly Budget'!V33</f>
        <v>0</v>
      </c>
      <c r="AC33" s="340">
        <f t="shared" si="13"/>
        <v>0</v>
      </c>
      <c r="AD33" s="339">
        <f>IF(U$18&lt;&gt;0,'4.) Yearly Budget'!I33/$AM$18,0)</f>
        <v>0</v>
      </c>
      <c r="AE33" s="86">
        <f t="shared" si="14"/>
        <v>0</v>
      </c>
      <c r="AF33" s="240"/>
    </row>
    <row r="34" spans="1:32" s="343" customFormat="1">
      <c r="A34" s="241">
        <f t="shared" si="0"/>
        <v>34</v>
      </c>
      <c r="B34" s="242"/>
      <c r="C34" s="118"/>
      <c r="D34" s="118" t="str">
        <f>'4.) Yearly Budget'!D34</f>
        <v>TOTAL Per Pupil Revenue (Weighted Average Per Pupil Funding)</v>
      </c>
      <c r="E34" s="44"/>
      <c r="F34"/>
      <c r="G34" s="543">
        <f>'4.) Yearly Budget'!G34</f>
        <v>0</v>
      </c>
      <c r="H34" s="76"/>
      <c r="I34" s="651">
        <f t="shared" ref="I34:AE34" si="15">SUM(I18:I33)</f>
        <v>0</v>
      </c>
      <c r="J34" s="133">
        <f t="shared" si="15"/>
        <v>0</v>
      </c>
      <c r="K34" s="341">
        <f t="shared" si="15"/>
        <v>0</v>
      </c>
      <c r="L34" s="83">
        <f t="shared" si="15"/>
        <v>0</v>
      </c>
      <c r="M34" s="133">
        <f t="shared" si="15"/>
        <v>0</v>
      </c>
      <c r="N34" s="341">
        <f t="shared" si="15"/>
        <v>0</v>
      </c>
      <c r="O34" s="83">
        <f t="shared" si="15"/>
        <v>0</v>
      </c>
      <c r="P34" s="133">
        <f t="shared" si="15"/>
        <v>0</v>
      </c>
      <c r="Q34" s="341">
        <f t="shared" si="15"/>
        <v>0</v>
      </c>
      <c r="R34" s="83">
        <f t="shared" si="15"/>
        <v>0</v>
      </c>
      <c r="S34" s="133">
        <f t="shared" si="15"/>
        <v>0</v>
      </c>
      <c r="T34" s="84">
        <f t="shared" si="15"/>
        <v>0</v>
      </c>
      <c r="U34" s="245">
        <f t="shared" si="15"/>
        <v>0</v>
      </c>
      <c r="V34" s="131">
        <f t="shared" si="15"/>
        <v>0</v>
      </c>
      <c r="W34" s="131">
        <f t="shared" si="15"/>
        <v>0</v>
      </c>
      <c r="X34" s="131">
        <f t="shared" si="15"/>
        <v>0</v>
      </c>
      <c r="Y34" s="338">
        <f t="shared" si="15"/>
        <v>0</v>
      </c>
      <c r="Z34" s="335">
        <f t="shared" si="15"/>
        <v>0</v>
      </c>
      <c r="AA34" s="341">
        <f t="shared" si="15"/>
        <v>0</v>
      </c>
      <c r="AB34" s="341">
        <f t="shared" si="15"/>
        <v>0</v>
      </c>
      <c r="AC34" s="341">
        <f t="shared" si="15"/>
        <v>0</v>
      </c>
      <c r="AD34" s="335">
        <f t="shared" si="15"/>
        <v>0</v>
      </c>
      <c r="AE34" s="342">
        <f t="shared" si="15"/>
        <v>0</v>
      </c>
      <c r="AF34" s="244"/>
    </row>
    <row r="35" spans="1:32" s="53" customFormat="1">
      <c r="A35" s="221">
        <f t="shared" si="0"/>
        <v>35</v>
      </c>
      <c r="B35" s="77"/>
      <c r="C35" s="41"/>
      <c r="D35" s="41" t="str">
        <f>'4.) Yearly Budget'!D35</f>
        <v>Special Education Revenue</v>
      </c>
      <c r="G35" s="48"/>
      <c r="H35" s="76"/>
      <c r="I35" s="698"/>
      <c r="J35" s="83">
        <f>IF('4.) Yearly Budget'!$K$18&gt;0,'4.) Yearly Budget'!K35,'4.) Yearly Budget'!J35)</f>
        <v>0</v>
      </c>
      <c r="K35" s="335">
        <f>IF(I$18&lt;&gt;0,I35-J35,0)</f>
        <v>0</v>
      </c>
      <c r="L35" s="81"/>
      <c r="M35" s="83">
        <f>IF('4.) Yearly Budget'!$N$18&gt;0,'4.) Yearly Budget'!N35,'4.) Yearly Budget'!M35)</f>
        <v>0</v>
      </c>
      <c r="N35" s="335">
        <f>IF(L$18&lt;&gt;0,L35-M35,0)</f>
        <v>0</v>
      </c>
      <c r="O35" s="81"/>
      <c r="P35" s="83">
        <f>IF('4.) Yearly Budget'!$Q$18&gt;0,'4.) Yearly Budget'!Q35,'4.) Yearly Budget'!P35)</f>
        <v>0</v>
      </c>
      <c r="Q35" s="335">
        <f>IF(O$18&lt;&gt;0,O35-P35,0)</f>
        <v>0</v>
      </c>
      <c r="R35" s="81"/>
      <c r="S35" s="83">
        <f>IF('4.) Yearly Budget'!$T$18&gt;0,'4.) Yearly Budget'!T35,'4.) Yearly Budget'!S35)</f>
        <v>0</v>
      </c>
      <c r="T35" s="86">
        <f>IF(R$18&lt;&gt;0,R35-S35,0)</f>
        <v>0</v>
      </c>
      <c r="U35" s="239">
        <f>IF(I$6&lt;&gt;0,I35,0)+IF(L$6&lt;&gt;0,L35,0)+IF(O$6&lt;&gt;0,O35,0)+IF(R$6&lt;&gt;0,R35,0)</f>
        <v>0</v>
      </c>
      <c r="V35" s="337">
        <f>SUM(IF(I$6&lt;&gt;0,J35,0)+IF(L$6&lt;&gt;0,M35,0)+IF(O$6&lt;&gt;0,P35,0)+IF(R$6&lt;&gt;0,S35,0))</f>
        <v>0</v>
      </c>
      <c r="W35" s="337">
        <f>U35-V35</f>
        <v>0</v>
      </c>
      <c r="X35" s="337">
        <f>'4.) Yearly Budget'!W35</f>
        <v>0</v>
      </c>
      <c r="Y35" s="338">
        <f>IF(U35&lt;&gt;0,U35-X35,IF(U35=0,-X35,0))</f>
        <v>0</v>
      </c>
      <c r="Z35" s="339">
        <f>SUM(IF(I$18&lt;&gt;0,'4.) Yearly Budget'!J35,0)+IF(L$18&lt;&gt;0,'4.) Yearly Budget'!M35,0)+IF(O$18&lt;&gt;0,'4.) Yearly Budget'!P35,0)+IF(R$18&lt;&gt;0,'4.) Yearly Budget'!S35,0))</f>
        <v>0</v>
      </c>
      <c r="AA35" s="339">
        <f>U35-Z35</f>
        <v>0</v>
      </c>
      <c r="AB35" s="339">
        <f>'4.) Yearly Budget'!V35</f>
        <v>0</v>
      </c>
      <c r="AC35" s="340">
        <f>IF(U35&lt;&gt;0,U35-AB35,IF(U35=0,-AB35,0))</f>
        <v>0</v>
      </c>
      <c r="AD35" s="339">
        <f>IF(U$6&lt;&gt;0,'4.) Yearly Budget'!I35/$AM$18,0)</f>
        <v>0</v>
      </c>
      <c r="AE35" s="86">
        <f>U35-AD35</f>
        <v>0</v>
      </c>
      <c r="AF35" s="240"/>
    </row>
    <row r="36" spans="1:32" s="53" customFormat="1">
      <c r="A36" s="221">
        <f t="shared" si="0"/>
        <v>36</v>
      </c>
      <c r="B36" s="77"/>
      <c r="C36" s="41"/>
      <c r="D36" s="41" t="str">
        <f>'4.) Yearly Budget'!D36</f>
        <v>Grants</v>
      </c>
      <c r="G36" s="48"/>
      <c r="H36" s="76"/>
      <c r="I36" s="85"/>
      <c r="J36" s="85"/>
      <c r="K36" s="85"/>
      <c r="L36" s="85"/>
      <c r="M36" s="85"/>
      <c r="N36" s="85"/>
      <c r="O36" s="85"/>
      <c r="P36" s="85"/>
      <c r="Q36" s="85"/>
      <c r="R36" s="85"/>
      <c r="S36" s="85"/>
      <c r="T36" s="86"/>
      <c r="U36" s="245"/>
      <c r="V36" s="344"/>
      <c r="W36" s="344"/>
      <c r="X36" s="344"/>
      <c r="Y36" s="344"/>
      <c r="Z36" s="344"/>
      <c r="AA36" s="344"/>
      <c r="AB36" s="344"/>
      <c r="AC36" s="85"/>
      <c r="AD36" s="344"/>
      <c r="AE36" s="86"/>
      <c r="AF36" s="240"/>
    </row>
    <row r="37" spans="1:32" s="53" customFormat="1">
      <c r="A37" s="221">
        <f t="shared" si="0"/>
        <v>37</v>
      </c>
      <c r="B37" s="77"/>
      <c r="C37" s="41"/>
      <c r="D37" s="41"/>
      <c r="E37" s="33" t="str">
        <f>'4.) Yearly Budget'!E37</f>
        <v>Stimulus</v>
      </c>
      <c r="F37" s="33"/>
      <c r="G37" s="47"/>
      <c r="H37" s="76"/>
      <c r="I37" s="238"/>
      <c r="J37" s="83">
        <f>IF('4.) Yearly Budget'!$K$18&gt;0,'4.) Yearly Budget'!K37,'4.) Yearly Budget'!J37)</f>
        <v>0</v>
      </c>
      <c r="K37" s="335">
        <f>IF(I$18&lt;&gt;0,I37-J37,0)</f>
        <v>0</v>
      </c>
      <c r="L37" s="81"/>
      <c r="M37" s="83">
        <f>IF('4.) Yearly Budget'!$N$18&gt;0,'4.) Yearly Budget'!N37,'4.) Yearly Budget'!M37)</f>
        <v>0</v>
      </c>
      <c r="N37" s="335">
        <f>IF(L$18&lt;&gt;0,L37-M37,0)</f>
        <v>0</v>
      </c>
      <c r="O37" s="81"/>
      <c r="P37" s="83">
        <f>IF('4.) Yearly Budget'!$Q$18&gt;0,'4.) Yearly Budget'!Q37,'4.) Yearly Budget'!P37)</f>
        <v>0</v>
      </c>
      <c r="Q37" s="335">
        <f>IF(O$18&lt;&gt;0,O37-P37,0)</f>
        <v>0</v>
      </c>
      <c r="R37" s="81"/>
      <c r="S37" s="83">
        <f>IF('4.) Yearly Budget'!$T$18&gt;0,'4.) Yearly Budget'!T37,'4.) Yearly Budget'!S37)</f>
        <v>0</v>
      </c>
      <c r="T37" s="86">
        <f>IF(R$18&lt;&gt;0,R37-S37,0)</f>
        <v>0</v>
      </c>
      <c r="U37" s="239">
        <f>IF(I$6&lt;&gt;0,I37,0)+IF(L$6&lt;&gt;0,L37,0)+IF(O$6&lt;&gt;0,O37,0)+IF(R$6&lt;&gt;0,R37,0)</f>
        <v>0</v>
      </c>
      <c r="V37" s="337">
        <f>SUM(IF(I$6&lt;&gt;0,J37,0)+IF(L$6&lt;&gt;0,M37,0)+IF(O$6&lt;&gt;0,P37,0)+IF(R$6&lt;&gt;0,S37,0))</f>
        <v>0</v>
      </c>
      <c r="W37" s="337">
        <f>U37-V37</f>
        <v>0</v>
      </c>
      <c r="X37" s="337">
        <f>'4.) Yearly Budget'!W37</f>
        <v>0</v>
      </c>
      <c r="Y37" s="338">
        <f>IF(U37&lt;&gt;0,U37-X37,IF(U37=0,-X37,0))</f>
        <v>0</v>
      </c>
      <c r="Z37" s="339">
        <f>SUM(IF(I$18&lt;&gt;0,'4.) Yearly Budget'!J37,0)+IF(L$18&lt;&gt;0,'4.) Yearly Budget'!M37,0)+IF(O$18&lt;&gt;0,'4.) Yearly Budget'!P37,0)+IF(R$18&lt;&gt;0,'4.) Yearly Budget'!S37,0))</f>
        <v>0</v>
      </c>
      <c r="AA37" s="339">
        <f>U37-Z37</f>
        <v>0</v>
      </c>
      <c r="AB37" s="339">
        <f>'4.) Yearly Budget'!V37</f>
        <v>0</v>
      </c>
      <c r="AC37" s="340">
        <f>IF(U37&lt;&gt;0,U37-AB37,IF(U37=0,-AB37,0))</f>
        <v>0</v>
      </c>
      <c r="AD37" s="339">
        <f>IF(U$6&lt;&gt;0,'4.) Yearly Budget'!I37/$AM$18,0)</f>
        <v>0</v>
      </c>
      <c r="AE37" s="86">
        <f>U37-AD37</f>
        <v>0</v>
      </c>
      <c r="AF37" s="240"/>
    </row>
    <row r="38" spans="1:32" s="53" customFormat="1">
      <c r="A38" s="221">
        <f t="shared" si="0"/>
        <v>38</v>
      </c>
      <c r="B38" s="77"/>
      <c r="C38" s="41"/>
      <c r="D38" s="41"/>
      <c r="E38" s="33" t="str">
        <f>'4.) Yearly Budget'!E38</f>
        <v>DYCD (Department of Youth and Community Development)</v>
      </c>
      <c r="F38" s="33"/>
      <c r="G38" s="47"/>
      <c r="H38" s="76"/>
      <c r="I38" s="238"/>
      <c r="J38" s="83">
        <f>IF('4.) Yearly Budget'!$K$18&gt;0,'4.) Yearly Budget'!K38,'4.) Yearly Budget'!J38)</f>
        <v>0</v>
      </c>
      <c r="K38" s="335">
        <f>IF(I$18&lt;&gt;0,I38-J38,0)</f>
        <v>0</v>
      </c>
      <c r="L38" s="81"/>
      <c r="M38" s="83">
        <f>IF('4.) Yearly Budget'!$N$18&gt;0,'4.) Yearly Budget'!N38,'4.) Yearly Budget'!M38)</f>
        <v>0</v>
      </c>
      <c r="N38" s="335">
        <f>IF(L$18&lt;&gt;0,L38-M38,0)</f>
        <v>0</v>
      </c>
      <c r="O38" s="81"/>
      <c r="P38" s="83">
        <f>IF('4.) Yearly Budget'!$Q$18&gt;0,'4.) Yearly Budget'!Q38,'4.) Yearly Budget'!P38)</f>
        <v>0</v>
      </c>
      <c r="Q38" s="335">
        <f>IF(O$18&lt;&gt;0,O38-P38,0)</f>
        <v>0</v>
      </c>
      <c r="R38" s="81"/>
      <c r="S38" s="83">
        <f>IF('4.) Yearly Budget'!$T$18&gt;0,'4.) Yearly Budget'!T38,'4.) Yearly Budget'!S38)</f>
        <v>0</v>
      </c>
      <c r="T38" s="86">
        <f>IF(R$18&lt;&gt;0,R38-S38,0)</f>
        <v>0</v>
      </c>
      <c r="U38" s="239">
        <f>IF(I$6&lt;&gt;0,I38,0)+IF(L$6&lt;&gt;0,L38,0)+IF(O$6&lt;&gt;0,O38,0)+IF(R$6&lt;&gt;0,R38,0)</f>
        <v>0</v>
      </c>
      <c r="V38" s="337">
        <f>SUM(IF(I$6&lt;&gt;0,J38,0)+IF(L$6&lt;&gt;0,M38,0)+IF(O$6&lt;&gt;0,P38,0)+IF(R$6&lt;&gt;0,S38,0))</f>
        <v>0</v>
      </c>
      <c r="W38" s="337">
        <f>U38-V38</f>
        <v>0</v>
      </c>
      <c r="X38" s="337">
        <f>'4.) Yearly Budget'!W38</f>
        <v>0</v>
      </c>
      <c r="Y38" s="338">
        <f>IF(U38&lt;&gt;0,U38-X38,IF(U38=0,-X38,0))</f>
        <v>0</v>
      </c>
      <c r="Z38" s="339">
        <f>SUM(IF(I$18&lt;&gt;0,'4.) Yearly Budget'!J38,0)+IF(L$18&lt;&gt;0,'4.) Yearly Budget'!M38,0)+IF(O$18&lt;&gt;0,'4.) Yearly Budget'!P38,0)+IF(R$18&lt;&gt;0,'4.) Yearly Budget'!S38,0))</f>
        <v>0</v>
      </c>
      <c r="AA38" s="339">
        <f>U38-Z38</f>
        <v>0</v>
      </c>
      <c r="AB38" s="339">
        <f>'4.) Yearly Budget'!V38</f>
        <v>0</v>
      </c>
      <c r="AC38" s="340">
        <f>IF(U38&lt;&gt;0,U38-AB38,IF(U38=0,-AB38,0))</f>
        <v>0</v>
      </c>
      <c r="AD38" s="339">
        <f>IF(U$6&lt;&gt;0,'4.) Yearly Budget'!I38/$AM$18,0)</f>
        <v>0</v>
      </c>
      <c r="AE38" s="86">
        <f>U38-AD38</f>
        <v>0</v>
      </c>
      <c r="AF38" s="240"/>
    </row>
    <row r="39" spans="1:32" s="53" customFormat="1">
      <c r="A39" s="221">
        <f t="shared" si="0"/>
        <v>39</v>
      </c>
      <c r="B39" s="77"/>
      <c r="C39" s="41"/>
      <c r="D39" s="41"/>
      <c r="E39" s="33" t="str">
        <f>'4.) Yearly Budget'!E39</f>
        <v>Other</v>
      </c>
      <c r="F39" s="33"/>
      <c r="G39" s="47"/>
      <c r="H39" s="76"/>
      <c r="I39" s="238"/>
      <c r="J39" s="83">
        <f>IF('4.) Yearly Budget'!$K$18&gt;0,'4.) Yearly Budget'!K39,'4.) Yearly Budget'!J39)</f>
        <v>0</v>
      </c>
      <c r="K39" s="335">
        <f>IF(I$18&lt;&gt;0,I39-J39,0)</f>
        <v>0</v>
      </c>
      <c r="L39" s="81"/>
      <c r="M39" s="83">
        <f>IF('4.) Yearly Budget'!$N$18&gt;0,'4.) Yearly Budget'!N39,'4.) Yearly Budget'!M39)</f>
        <v>0</v>
      </c>
      <c r="N39" s="335">
        <f>IF(L$18&lt;&gt;0,L39-M39,0)</f>
        <v>0</v>
      </c>
      <c r="O39" s="81"/>
      <c r="P39" s="83">
        <f>IF('4.) Yearly Budget'!$Q$18&gt;0,'4.) Yearly Budget'!Q39,'4.) Yearly Budget'!P39)</f>
        <v>0</v>
      </c>
      <c r="Q39" s="335">
        <f>IF(O$18&lt;&gt;0,O39-P39,0)</f>
        <v>0</v>
      </c>
      <c r="R39" s="81"/>
      <c r="S39" s="83">
        <f>IF('4.) Yearly Budget'!$T$18&gt;0,'4.) Yearly Budget'!T39,'4.) Yearly Budget'!S39)</f>
        <v>0</v>
      </c>
      <c r="T39" s="86">
        <f>IF(R$18&lt;&gt;0,R39-S39,0)</f>
        <v>0</v>
      </c>
      <c r="U39" s="239">
        <f>IF(I$6&lt;&gt;0,I39,0)+IF(L$6&lt;&gt;0,L39,0)+IF(O$6&lt;&gt;0,O39,0)+IF(R$6&lt;&gt;0,R39,0)</f>
        <v>0</v>
      </c>
      <c r="V39" s="337">
        <f>SUM(IF(I$6&lt;&gt;0,J39,0)+IF(L$6&lt;&gt;0,M39,0)+IF(O$6&lt;&gt;0,P39,0)+IF(R$6&lt;&gt;0,S39,0))</f>
        <v>0</v>
      </c>
      <c r="W39" s="337">
        <f>U39-V39</f>
        <v>0</v>
      </c>
      <c r="X39" s="337">
        <f>'4.) Yearly Budget'!W39</f>
        <v>0</v>
      </c>
      <c r="Y39" s="338">
        <f>IF(U39&lt;&gt;0,U39-X39,IF(U39=0,-X39,0))</f>
        <v>0</v>
      </c>
      <c r="Z39" s="339">
        <f>SUM(IF(I$18&lt;&gt;0,'4.) Yearly Budget'!J39,0)+IF(L$18&lt;&gt;0,'4.) Yearly Budget'!M39,0)+IF(O$18&lt;&gt;0,'4.) Yearly Budget'!P39,0)+IF(R$18&lt;&gt;0,'4.) Yearly Budget'!S39,0))</f>
        <v>0</v>
      </c>
      <c r="AA39" s="339">
        <f>U39-Z39</f>
        <v>0</v>
      </c>
      <c r="AB39" s="339">
        <f>'4.) Yearly Budget'!V39</f>
        <v>0</v>
      </c>
      <c r="AC39" s="340">
        <f>IF(U39&lt;&gt;0,U39-AB39,IF(U39=0,-AB39,0))</f>
        <v>0</v>
      </c>
      <c r="AD39" s="339">
        <f>IF(U$6&lt;&gt;0,'4.) Yearly Budget'!I39/$AM$18,0)</f>
        <v>0</v>
      </c>
      <c r="AE39" s="86">
        <f>U39-AD39</f>
        <v>0</v>
      </c>
      <c r="AF39" s="240"/>
    </row>
    <row r="40" spans="1:32" s="53" customFormat="1">
      <c r="A40" s="221">
        <f t="shared" si="0"/>
        <v>40</v>
      </c>
      <c r="B40" s="77"/>
      <c r="C40" s="41"/>
      <c r="D40" s="78" t="str">
        <f>'4.) Yearly Budget'!D40</f>
        <v>NYC DoE Rental Assistance</v>
      </c>
      <c r="E40" s="33"/>
      <c r="F40" s="33"/>
      <c r="G40" s="47"/>
      <c r="H40" s="76"/>
      <c r="I40" s="617"/>
      <c r="J40" s="83">
        <f>IF('4.) Yearly Budget'!$K$18&gt;0,'4.) Yearly Budget'!K40,'4.) Yearly Budget'!J40)</f>
        <v>0</v>
      </c>
      <c r="K40" s="335">
        <f>IF(I$18&lt;&gt;0,I40-J40,0)</f>
        <v>0</v>
      </c>
      <c r="L40" s="782"/>
      <c r="M40" s="83">
        <f>IF('4.) Yearly Budget'!$N$18&gt;0,'4.) Yearly Budget'!N40,'4.) Yearly Budget'!M40)</f>
        <v>0</v>
      </c>
      <c r="N40" s="335">
        <f>IF(L$18&lt;&gt;0,L40-M40,0)</f>
        <v>0</v>
      </c>
      <c r="O40" s="782"/>
      <c r="P40" s="83">
        <f>IF('4.) Yearly Budget'!$Q$18&gt;0,'4.) Yearly Budget'!Q40,'4.) Yearly Budget'!P40)</f>
        <v>0</v>
      </c>
      <c r="Q40" s="335">
        <f>IF(O$18&lt;&gt;0,O40-P40,0)</f>
        <v>0</v>
      </c>
      <c r="R40" s="782"/>
      <c r="S40" s="83">
        <f>IF('4.) Yearly Budget'!$T$18&gt;0,'4.) Yearly Budget'!T40,'4.) Yearly Budget'!S40)</f>
        <v>0</v>
      </c>
      <c r="T40" s="86">
        <f>IF(R$18&lt;&gt;0,R40-S40,0)</f>
        <v>0</v>
      </c>
      <c r="U40" s="239">
        <f>IF(I$6&lt;&gt;0,I40,0)+IF(L$6&lt;&gt;0,L40,0)+IF(O$6&lt;&gt;0,O40,0)+IF(R$6&lt;&gt;0,R40,0)</f>
        <v>0</v>
      </c>
      <c r="V40" s="337">
        <f>SUM(IF(I$6&lt;&gt;0,J40,0)+IF(L$6&lt;&gt;0,M40,0)+IF(O$6&lt;&gt;0,P40,0)+IF(R$6&lt;&gt;0,S40,0))</f>
        <v>0</v>
      </c>
      <c r="W40" s="337">
        <f>U40-V40</f>
        <v>0</v>
      </c>
      <c r="X40" s="337">
        <f>'4.) Yearly Budget'!W40</f>
        <v>0</v>
      </c>
      <c r="Y40" s="338">
        <f>IF(U40&lt;&gt;0,U40-X40,IF(U40=0,-X40,0))</f>
        <v>0</v>
      </c>
      <c r="Z40" s="339">
        <f>SUM(IF(I$18&lt;&gt;0,'4.) Yearly Budget'!J40,0)+IF(L$18&lt;&gt;0,'4.) Yearly Budget'!M40,0)+IF(O$18&lt;&gt;0,'4.) Yearly Budget'!P40,0)+IF(R$18&lt;&gt;0,'4.) Yearly Budget'!S40,0))</f>
        <v>0</v>
      </c>
      <c r="AA40" s="339">
        <f>U40-Z40</f>
        <v>0</v>
      </c>
      <c r="AB40" s="339">
        <f>'4.) Yearly Budget'!V40</f>
        <v>0</v>
      </c>
      <c r="AC40" s="340">
        <f>IF(U40&lt;&gt;0,U40-AB40,IF(U40=0,-AB40,0))</f>
        <v>0</v>
      </c>
      <c r="AD40" s="339">
        <f>IF(U$6&lt;&gt;0,'4.) Yearly Budget'!I40/$AM$18,0)</f>
        <v>0</v>
      </c>
      <c r="AE40" s="86">
        <f>U40-AD40</f>
        <v>0</v>
      </c>
      <c r="AF40" s="240"/>
    </row>
    <row r="41" spans="1:32" s="53" customFormat="1" ht="17.25">
      <c r="A41" s="221">
        <f t="shared" si="0"/>
        <v>41</v>
      </c>
      <c r="B41" s="77"/>
      <c r="C41" s="41"/>
      <c r="D41" s="78" t="str">
        <f>'4.) Yearly Budget'!D41</f>
        <v>Other</v>
      </c>
      <c r="G41" s="48"/>
      <c r="H41" s="76"/>
      <c r="I41" s="246"/>
      <c r="J41" s="499">
        <f>IF('4.) Yearly Budget'!$K$18&gt;0,'4.) Yearly Budget'!K41,'4.) Yearly Budget'!J41)</f>
        <v>0</v>
      </c>
      <c r="K41" s="345">
        <f>IF(I$18&lt;&gt;0,I41-J41,0)</f>
        <v>0</v>
      </c>
      <c r="L41" s="87"/>
      <c r="M41" s="499">
        <f>IF('4.) Yearly Budget'!$N$18&gt;0,'4.) Yearly Budget'!N41,'4.) Yearly Budget'!M41)</f>
        <v>0</v>
      </c>
      <c r="N41" s="345">
        <f>IF(L$18&lt;&gt;0,L41-M41,0)</f>
        <v>0</v>
      </c>
      <c r="O41" s="87"/>
      <c r="P41" s="499">
        <f>IF('4.) Yearly Budget'!$Q$18&gt;0,'4.) Yearly Budget'!Q41,'4.) Yearly Budget'!P41)</f>
        <v>0</v>
      </c>
      <c r="Q41" s="345">
        <f>IF(O$18&lt;&gt;0,O41-P41,0)</f>
        <v>0</v>
      </c>
      <c r="R41" s="87"/>
      <c r="S41" s="499">
        <f>IF('4.) Yearly Budget'!$T$18&gt;0,'4.) Yearly Budget'!T41,'4.) Yearly Budget'!S41)</f>
        <v>0</v>
      </c>
      <c r="T41" s="346">
        <f>IF(R$18&lt;&gt;0,R41-S41,0)</f>
        <v>0</v>
      </c>
      <c r="U41" s="247">
        <f>IF(I$6&lt;&gt;0,I41,0)+IF(L$6&lt;&gt;0,L41,0)+IF(O$6&lt;&gt;0,O41,0)+IF(R$6&lt;&gt;0,R41,0)</f>
        <v>0</v>
      </c>
      <c r="V41" s="347">
        <f>SUM(IF(I$6&lt;&gt;0,J41,0)+IF(L$6&lt;&gt;0,M41,0)+IF(O$6&lt;&gt;0,P41,0)+IF(R$6&lt;&gt;0,S41,0))</f>
        <v>0</v>
      </c>
      <c r="W41" s="347">
        <f>U41-V41</f>
        <v>0</v>
      </c>
      <c r="X41" s="347">
        <f>'4.) Yearly Budget'!W41</f>
        <v>0</v>
      </c>
      <c r="Y41" s="348">
        <f>IF(U41&lt;&gt;0,U41-X41,IF(U41=0,-X41,0))</f>
        <v>0</v>
      </c>
      <c r="Z41" s="349">
        <f>SUM(IF(I$18&lt;&gt;0,'4.) Yearly Budget'!J41,0)+IF(L$18&lt;&gt;0,'4.) Yearly Budget'!M41,0)+IF(O$18&lt;&gt;0,'4.) Yearly Budget'!P41,0)+IF(R$18&lt;&gt;0,'4.) Yearly Budget'!S41,0))</f>
        <v>0</v>
      </c>
      <c r="AA41" s="349">
        <f>U41-Z41</f>
        <v>0</v>
      </c>
      <c r="AB41" s="349">
        <f>'4.) Yearly Budget'!V41</f>
        <v>0</v>
      </c>
      <c r="AC41" s="350">
        <f>IF(U41&lt;&gt;0,U41-AB41,IF(U41=0,-AB41,0))</f>
        <v>0</v>
      </c>
      <c r="AD41" s="349">
        <f>IF(U$6&lt;&gt;0,'4.) Yearly Budget'!I41/$AM$18,0)</f>
        <v>0</v>
      </c>
      <c r="AE41" s="346">
        <f>U41-AD41</f>
        <v>0</v>
      </c>
      <c r="AF41" s="240"/>
    </row>
    <row r="42" spans="1:32" s="53" customFormat="1">
      <c r="A42" s="221">
        <f t="shared" si="0"/>
        <v>42</v>
      </c>
      <c r="B42" s="77"/>
      <c r="C42" s="41" t="str">
        <f>'4.) Yearly Budget'!C42</f>
        <v>TOTAL REVENUE FROM STATE SOURCES</v>
      </c>
      <c r="D42" s="78"/>
      <c r="G42" s="48"/>
      <c r="H42" s="76"/>
      <c r="I42" s="243">
        <f t="shared" ref="I42:AE42" si="16">SUM(I34:I41)</f>
        <v>0</v>
      </c>
      <c r="J42" s="133">
        <f t="shared" si="16"/>
        <v>0</v>
      </c>
      <c r="K42" s="341">
        <f t="shared" si="16"/>
        <v>0</v>
      </c>
      <c r="L42" s="83">
        <f t="shared" si="16"/>
        <v>0</v>
      </c>
      <c r="M42" s="133">
        <f t="shared" si="16"/>
        <v>0</v>
      </c>
      <c r="N42" s="341">
        <f t="shared" si="16"/>
        <v>0</v>
      </c>
      <c r="O42" s="83">
        <f t="shared" si="16"/>
        <v>0</v>
      </c>
      <c r="P42" s="133">
        <f t="shared" si="16"/>
        <v>0</v>
      </c>
      <c r="Q42" s="341">
        <f t="shared" si="16"/>
        <v>0</v>
      </c>
      <c r="R42" s="83">
        <f t="shared" si="16"/>
        <v>0</v>
      </c>
      <c r="S42" s="133">
        <f t="shared" si="16"/>
        <v>0</v>
      </c>
      <c r="T42" s="84">
        <f t="shared" si="16"/>
        <v>0</v>
      </c>
      <c r="U42" s="239">
        <f t="shared" si="16"/>
        <v>0</v>
      </c>
      <c r="V42" s="131">
        <f t="shared" si="16"/>
        <v>0</v>
      </c>
      <c r="W42" s="131">
        <f t="shared" si="16"/>
        <v>0</v>
      </c>
      <c r="X42" s="131">
        <f t="shared" si="16"/>
        <v>0</v>
      </c>
      <c r="Y42" s="341">
        <f t="shared" si="16"/>
        <v>0</v>
      </c>
      <c r="Z42" s="85">
        <f t="shared" si="16"/>
        <v>0</v>
      </c>
      <c r="AA42" s="85">
        <f t="shared" si="16"/>
        <v>0</v>
      </c>
      <c r="AB42" s="85">
        <f t="shared" si="16"/>
        <v>0</v>
      </c>
      <c r="AC42" s="340">
        <f t="shared" si="16"/>
        <v>0</v>
      </c>
      <c r="AD42" s="85">
        <f t="shared" si="16"/>
        <v>0</v>
      </c>
      <c r="AE42" s="86">
        <f t="shared" si="16"/>
        <v>0</v>
      </c>
      <c r="AF42" s="240"/>
    </row>
    <row r="43" spans="1:32" s="53" customFormat="1" ht="7.5" customHeight="1">
      <c r="A43" s="221">
        <f t="shared" si="0"/>
        <v>43</v>
      </c>
      <c r="B43" s="77"/>
      <c r="C43" s="41"/>
      <c r="D43" s="41"/>
      <c r="E43" s="44"/>
      <c r="F43" s="44"/>
      <c r="G43" s="42"/>
      <c r="H43" s="76"/>
      <c r="I43" s="88"/>
      <c r="J43" s="88"/>
      <c r="K43" s="88"/>
      <c r="L43" s="88"/>
      <c r="M43" s="88"/>
      <c r="N43" s="88"/>
      <c r="O43" s="88"/>
      <c r="P43" s="88"/>
      <c r="Q43" s="88"/>
      <c r="R43" s="88"/>
      <c r="S43" s="88"/>
      <c r="T43" s="89"/>
      <c r="U43" s="88"/>
      <c r="V43" s="88"/>
      <c r="W43" s="88"/>
      <c r="X43" s="88"/>
      <c r="Y43" s="88"/>
      <c r="Z43" s="88"/>
      <c r="AA43" s="88"/>
      <c r="AB43" s="88"/>
      <c r="AC43" s="88"/>
      <c r="AD43" s="88"/>
      <c r="AE43" s="89"/>
      <c r="AF43" s="240"/>
    </row>
    <row r="44" spans="1:32" s="53" customFormat="1">
      <c r="A44" s="221">
        <f t="shared" si="0"/>
        <v>44</v>
      </c>
      <c r="B44" s="74"/>
      <c r="C44" s="75" t="s">
        <v>31</v>
      </c>
      <c r="D44" s="75"/>
      <c r="E44" s="44"/>
      <c r="F44" s="44"/>
      <c r="G44" s="42"/>
      <c r="H44" s="76"/>
      <c r="I44" s="79"/>
      <c r="J44" s="79"/>
      <c r="K44" s="79"/>
      <c r="L44" s="79"/>
      <c r="M44" s="79"/>
      <c r="N44" s="79"/>
      <c r="O44" s="79"/>
      <c r="P44" s="79"/>
      <c r="Q44" s="79"/>
      <c r="R44" s="79"/>
      <c r="S44" s="79"/>
      <c r="T44" s="80"/>
      <c r="U44" s="79"/>
      <c r="V44" s="79"/>
      <c r="W44" s="79"/>
      <c r="X44" s="79"/>
      <c r="Y44" s="79"/>
      <c r="Z44" s="79"/>
      <c r="AA44" s="79"/>
      <c r="AB44" s="79"/>
      <c r="AC44" s="79"/>
      <c r="AD44" s="79"/>
      <c r="AE44" s="80"/>
      <c r="AF44" s="240"/>
    </row>
    <row r="45" spans="1:32" s="53" customFormat="1">
      <c r="A45" s="221">
        <f t="shared" si="0"/>
        <v>45</v>
      </c>
      <c r="B45" s="77"/>
      <c r="C45" s="41"/>
      <c r="D45" s="78" t="s">
        <v>32</v>
      </c>
      <c r="G45" s="48"/>
      <c r="H45" s="76"/>
      <c r="I45" s="238"/>
      <c r="J45" s="83">
        <f>IF('4.) Yearly Budget'!$K$18&gt;0,'4.) Yearly Budget'!K45,'4.) Yearly Budget'!J45)</f>
        <v>0</v>
      </c>
      <c r="K45" s="340">
        <f>IF(I$18&lt;&gt;0,I45-J45,0)</f>
        <v>0</v>
      </c>
      <c r="L45" s="81"/>
      <c r="M45" s="83">
        <f>IF('4.) Yearly Budget'!$N$18&gt;0,'4.) Yearly Budget'!N45,'4.) Yearly Budget'!M45)</f>
        <v>0</v>
      </c>
      <c r="N45" s="340">
        <f>IF(L$18&lt;&gt;0,L45-M45,0)</f>
        <v>0</v>
      </c>
      <c r="O45" s="81"/>
      <c r="P45" s="83">
        <f>IF('4.) Yearly Budget'!$Q$18&gt;0,'4.) Yearly Budget'!Q45,'4.) Yearly Budget'!P45)</f>
        <v>0</v>
      </c>
      <c r="Q45" s="340">
        <f>IF(O$18&lt;&gt;0,O45-P45,0)</f>
        <v>0</v>
      </c>
      <c r="R45" s="81"/>
      <c r="S45" s="83">
        <f>IF('4.) Yearly Budget'!$T$18&gt;0,'4.) Yearly Budget'!T45,'4.) Yearly Budget'!S45)</f>
        <v>0</v>
      </c>
      <c r="T45" s="86">
        <f>IF(R$18&lt;&gt;0,R45-S45,0)</f>
        <v>0</v>
      </c>
      <c r="U45" s="239">
        <f>IF(I$6&lt;&gt;0,I45,0)+IF(L$6&lt;&gt;0,L45,0)+IF(O$6&lt;&gt;0,O45,0)+IF(R$6&lt;&gt;0,R45,0)</f>
        <v>0</v>
      </c>
      <c r="V45" s="337">
        <f>SUM(IF(I$6&lt;&gt;0,J45,0)+IF(L$6&lt;&gt;0,M45,0)+IF(O$6&lt;&gt;0,P45,0)+IF(R$6&lt;&gt;0,S45,0))</f>
        <v>0</v>
      </c>
      <c r="W45" s="337">
        <f>U45-V45</f>
        <v>0</v>
      </c>
      <c r="X45" s="337">
        <f>'4.) Yearly Budget'!W45</f>
        <v>0</v>
      </c>
      <c r="Y45" s="338">
        <f>IF(U45&lt;&gt;0,U45-X45,IF(U45=0,-X45,0))</f>
        <v>0</v>
      </c>
      <c r="Z45" s="339">
        <f>SUM(IF(I$18&lt;&gt;0,'4.) Yearly Budget'!J45,0)+IF(L$18&lt;&gt;0,'4.) Yearly Budget'!M45,0)+IF(O$18&lt;&gt;0,'4.) Yearly Budget'!P45,0)+IF(R$18&lt;&gt;0,'4.) Yearly Budget'!S45,0))</f>
        <v>0</v>
      </c>
      <c r="AA45" s="339">
        <f>U45-Z45</f>
        <v>0</v>
      </c>
      <c r="AB45" s="339">
        <f>'4.) Yearly Budget'!V45</f>
        <v>0</v>
      </c>
      <c r="AC45" s="340">
        <f>IF(U45&lt;&gt;0,U45-AB45,IF(U45=0,-AB45,0))</f>
        <v>0</v>
      </c>
      <c r="AD45" s="339">
        <f>IF(U$6&lt;&gt;0,'4.) Yearly Budget'!I45/$AM$18,0)</f>
        <v>0</v>
      </c>
      <c r="AE45" s="86">
        <f>U45-AD45</f>
        <v>0</v>
      </c>
      <c r="AF45" s="240"/>
    </row>
    <row r="46" spans="1:32" s="53" customFormat="1">
      <c r="A46" s="221">
        <f t="shared" si="0"/>
        <v>46</v>
      </c>
      <c r="B46" s="77"/>
      <c r="C46" s="41"/>
      <c r="D46" s="78" t="s">
        <v>33</v>
      </c>
      <c r="G46" s="48"/>
      <c r="H46" s="76"/>
      <c r="I46" s="238"/>
      <c r="J46" s="83">
        <f>IF('4.) Yearly Budget'!$K$18&gt;0,'4.) Yearly Budget'!K46,'4.) Yearly Budget'!J46)</f>
        <v>0</v>
      </c>
      <c r="K46" s="340">
        <f>IF(I$18&lt;&gt;0,I46-J46,0)</f>
        <v>0</v>
      </c>
      <c r="L46" s="81"/>
      <c r="M46" s="83">
        <f>IF('4.) Yearly Budget'!$N$18&gt;0,'4.) Yearly Budget'!N46,'4.) Yearly Budget'!M46)</f>
        <v>0</v>
      </c>
      <c r="N46" s="340">
        <f>IF(L$18&lt;&gt;0,L46-M46,0)</f>
        <v>0</v>
      </c>
      <c r="O46" s="81"/>
      <c r="P46" s="83">
        <f>IF('4.) Yearly Budget'!$Q$18&gt;0,'4.) Yearly Budget'!Q46,'4.) Yearly Budget'!P46)</f>
        <v>0</v>
      </c>
      <c r="Q46" s="340">
        <f>IF(O$18&lt;&gt;0,O46-P46,0)</f>
        <v>0</v>
      </c>
      <c r="R46" s="81"/>
      <c r="S46" s="83">
        <f>IF('4.) Yearly Budget'!$T$18&gt;0,'4.) Yearly Budget'!T46,'4.) Yearly Budget'!S46)</f>
        <v>0</v>
      </c>
      <c r="T46" s="86">
        <f>IF(R$18&lt;&gt;0,R46-S46,0)</f>
        <v>0</v>
      </c>
      <c r="U46" s="239">
        <f>IF(I$6&lt;&gt;0,I46,0)+IF(L$6&lt;&gt;0,L46,0)+IF(O$6&lt;&gt;0,O46,0)+IF(R$6&lt;&gt;0,R46,0)</f>
        <v>0</v>
      </c>
      <c r="V46" s="337">
        <f>SUM(IF(I$6&lt;&gt;0,J46,0)+IF(L$6&lt;&gt;0,M46,0)+IF(O$6&lt;&gt;0,P46,0)+IF(R$6&lt;&gt;0,S46,0))</f>
        <v>0</v>
      </c>
      <c r="W46" s="337">
        <f>U46-V46</f>
        <v>0</v>
      </c>
      <c r="X46" s="337">
        <f>'4.) Yearly Budget'!W46</f>
        <v>0</v>
      </c>
      <c r="Y46" s="338">
        <f>IF(U46&lt;&gt;0,U46-X46,IF(U46=0,-X46,0))</f>
        <v>0</v>
      </c>
      <c r="Z46" s="339">
        <f>SUM(IF(I$18&lt;&gt;0,'4.) Yearly Budget'!J46,0)+IF(L$18&lt;&gt;0,'4.) Yearly Budget'!M46,0)+IF(O$18&lt;&gt;0,'4.) Yearly Budget'!P46,0)+IF(R$18&lt;&gt;0,'4.) Yearly Budget'!S46,0))</f>
        <v>0</v>
      </c>
      <c r="AA46" s="339">
        <f>U46-Z46</f>
        <v>0</v>
      </c>
      <c r="AB46" s="339">
        <f>'4.) Yearly Budget'!V46</f>
        <v>0</v>
      </c>
      <c r="AC46" s="340">
        <f>IF(U46&lt;&gt;0,U46-AB46,IF(U46=0,-AB46,0))</f>
        <v>0</v>
      </c>
      <c r="AD46" s="339">
        <f>IF(U$6&lt;&gt;0,'4.) Yearly Budget'!I46/$AM$18,0)</f>
        <v>0</v>
      </c>
      <c r="AE46" s="86">
        <f>U46-AD46</f>
        <v>0</v>
      </c>
      <c r="AF46" s="240"/>
    </row>
    <row r="47" spans="1:32" s="53" customFormat="1">
      <c r="A47" s="221">
        <f t="shared" si="0"/>
        <v>47</v>
      </c>
      <c r="B47" s="77"/>
      <c r="C47" s="41"/>
      <c r="D47" s="78" t="s">
        <v>34</v>
      </c>
      <c r="G47" s="48"/>
      <c r="H47" s="76"/>
      <c r="I47" s="238"/>
      <c r="J47" s="83">
        <f>IF('4.) Yearly Budget'!$K$18&gt;0,'4.) Yearly Budget'!K47,'4.) Yearly Budget'!J47)</f>
        <v>0</v>
      </c>
      <c r="K47" s="340">
        <f>IF(I$18&lt;&gt;0,I47-J47,0)</f>
        <v>0</v>
      </c>
      <c r="L47" s="81"/>
      <c r="M47" s="83">
        <f>IF('4.) Yearly Budget'!$N$18&gt;0,'4.) Yearly Budget'!N47,'4.) Yearly Budget'!M47)</f>
        <v>0</v>
      </c>
      <c r="N47" s="340">
        <f>IF(L$18&lt;&gt;0,L47-M47,0)</f>
        <v>0</v>
      </c>
      <c r="O47" s="81"/>
      <c r="P47" s="83">
        <f>IF('4.) Yearly Budget'!$Q$18&gt;0,'4.) Yearly Budget'!Q47,'4.) Yearly Budget'!P47)</f>
        <v>0</v>
      </c>
      <c r="Q47" s="340">
        <f>IF(O$18&lt;&gt;0,O47-P47,0)</f>
        <v>0</v>
      </c>
      <c r="R47" s="81"/>
      <c r="S47" s="83">
        <f>IF('4.) Yearly Budget'!$T$18&gt;0,'4.) Yearly Budget'!T47,'4.) Yearly Budget'!S47)</f>
        <v>0</v>
      </c>
      <c r="T47" s="86">
        <f>IF(R$18&lt;&gt;0,R47-S47,0)</f>
        <v>0</v>
      </c>
      <c r="U47" s="239">
        <f>IF(I$6&lt;&gt;0,I47,0)+IF(L$6&lt;&gt;0,L47,0)+IF(O$6&lt;&gt;0,O47,0)+IF(R$6&lt;&gt;0,R47,0)</f>
        <v>0</v>
      </c>
      <c r="V47" s="337">
        <f>SUM(IF(I$6&lt;&gt;0,J47,0)+IF(L$6&lt;&gt;0,M47,0)+IF(O$6&lt;&gt;0,P47,0)+IF(R$6&lt;&gt;0,S47,0))</f>
        <v>0</v>
      </c>
      <c r="W47" s="337">
        <f>U47-V47</f>
        <v>0</v>
      </c>
      <c r="X47" s="337">
        <f>'4.) Yearly Budget'!W47</f>
        <v>0</v>
      </c>
      <c r="Y47" s="338">
        <f>IF(U47&lt;&gt;0,U47-X47,IF(U47=0,-X47,0))</f>
        <v>0</v>
      </c>
      <c r="Z47" s="339">
        <f>SUM(IF(I$18&lt;&gt;0,'4.) Yearly Budget'!J47,0)+IF(L$18&lt;&gt;0,'4.) Yearly Budget'!M47,0)+IF(O$18&lt;&gt;0,'4.) Yearly Budget'!P47,0)+IF(R$18&lt;&gt;0,'4.) Yearly Budget'!S47,0))</f>
        <v>0</v>
      </c>
      <c r="AA47" s="339">
        <f>U47-Z47</f>
        <v>0</v>
      </c>
      <c r="AB47" s="339">
        <f>'4.) Yearly Budget'!V47</f>
        <v>0</v>
      </c>
      <c r="AC47" s="340">
        <f>IF(U47&lt;&gt;0,U47-AB47,IF(U47=0,-AB47,0))</f>
        <v>0</v>
      </c>
      <c r="AD47" s="339">
        <f>IF(U$6&lt;&gt;0,'4.) Yearly Budget'!I47/$AM$18,0)</f>
        <v>0</v>
      </c>
      <c r="AE47" s="86">
        <f>U47-AD47</f>
        <v>0</v>
      </c>
      <c r="AF47" s="240"/>
    </row>
    <row r="48" spans="1:32" s="53" customFormat="1">
      <c r="A48" s="221">
        <f t="shared" si="0"/>
        <v>48</v>
      </c>
      <c r="B48" s="77"/>
      <c r="C48" s="41"/>
      <c r="D48" s="78" t="s">
        <v>35</v>
      </c>
      <c r="G48" s="48"/>
      <c r="H48" s="76"/>
      <c r="I48" s="238"/>
      <c r="J48" s="83">
        <f>IF('4.) Yearly Budget'!$K$18&gt;0,'4.) Yearly Budget'!K48,'4.) Yearly Budget'!J48)</f>
        <v>0</v>
      </c>
      <c r="K48" s="340">
        <f>IF(I$18&lt;&gt;0,I48-J48,0)</f>
        <v>0</v>
      </c>
      <c r="L48" s="81"/>
      <c r="M48" s="83">
        <f>IF('4.) Yearly Budget'!$N$18&gt;0,'4.) Yearly Budget'!N48,'4.) Yearly Budget'!M48)</f>
        <v>0</v>
      </c>
      <c r="N48" s="340">
        <f>IF(L$18&lt;&gt;0,L48-M48,0)</f>
        <v>0</v>
      </c>
      <c r="O48" s="81"/>
      <c r="P48" s="83">
        <f>IF('4.) Yearly Budget'!$Q$18&gt;0,'4.) Yearly Budget'!Q48,'4.) Yearly Budget'!P48)</f>
        <v>0</v>
      </c>
      <c r="Q48" s="340">
        <f>IF(O$18&lt;&gt;0,O48-P48,0)</f>
        <v>0</v>
      </c>
      <c r="R48" s="81"/>
      <c r="S48" s="83">
        <f>IF('4.) Yearly Budget'!$T$18&gt;0,'4.) Yearly Budget'!T48,'4.) Yearly Budget'!S48)</f>
        <v>0</v>
      </c>
      <c r="T48" s="86">
        <f>IF(R$18&lt;&gt;0,R48-S48,0)</f>
        <v>0</v>
      </c>
      <c r="U48" s="239">
        <f>IF(I$6&lt;&gt;0,I48,0)+IF(L$6&lt;&gt;0,L48,0)+IF(O$6&lt;&gt;0,O48,0)+IF(R$6&lt;&gt;0,R48,0)</f>
        <v>0</v>
      </c>
      <c r="V48" s="337">
        <f>SUM(IF(I$6&lt;&gt;0,J48,0)+IF(L$6&lt;&gt;0,M48,0)+IF(O$6&lt;&gt;0,P48,0)+IF(R$6&lt;&gt;0,S48,0))</f>
        <v>0</v>
      </c>
      <c r="W48" s="337">
        <f>U48-V48</f>
        <v>0</v>
      </c>
      <c r="X48" s="337">
        <f>'4.) Yearly Budget'!W48</f>
        <v>0</v>
      </c>
      <c r="Y48" s="338">
        <f>IF(U48&lt;&gt;0,U48-X48,IF(U48=0,-X48,0))</f>
        <v>0</v>
      </c>
      <c r="Z48" s="339">
        <f>SUM(IF(I$18&lt;&gt;0,'4.) Yearly Budget'!J48,0)+IF(L$18&lt;&gt;0,'4.) Yearly Budget'!M48,0)+IF(O$18&lt;&gt;0,'4.) Yearly Budget'!P48,0)+IF(R$18&lt;&gt;0,'4.) Yearly Budget'!S48,0))</f>
        <v>0</v>
      </c>
      <c r="AA48" s="339">
        <f>U48-Z48</f>
        <v>0</v>
      </c>
      <c r="AB48" s="339">
        <f>'4.) Yearly Budget'!V48</f>
        <v>0</v>
      </c>
      <c r="AC48" s="340">
        <f>IF(U48&lt;&gt;0,U48-AB48,IF(U48=0,-AB48,0))</f>
        <v>0</v>
      </c>
      <c r="AD48" s="339">
        <f>IF(U$6&lt;&gt;0,'4.) Yearly Budget'!I48/$AM$18,0)</f>
        <v>0</v>
      </c>
      <c r="AE48" s="86">
        <f>U48-AD48</f>
        <v>0</v>
      </c>
      <c r="AF48" s="240"/>
    </row>
    <row r="49" spans="1:32" s="53" customFormat="1">
      <c r="A49" s="221">
        <f t="shared" si="0"/>
        <v>49</v>
      </c>
      <c r="B49" s="77"/>
      <c r="C49" s="41"/>
      <c r="D49" s="78" t="s">
        <v>27</v>
      </c>
      <c r="G49" s="48"/>
      <c r="H49" s="76"/>
      <c r="I49" s="85"/>
      <c r="J49" s="85"/>
      <c r="K49" s="85"/>
      <c r="L49" s="85"/>
      <c r="M49" s="85"/>
      <c r="N49" s="85"/>
      <c r="O49" s="85"/>
      <c r="P49" s="85"/>
      <c r="Q49" s="85"/>
      <c r="R49" s="85"/>
      <c r="S49" s="85"/>
      <c r="T49" s="86"/>
      <c r="U49" s="245"/>
      <c r="V49" s="344"/>
      <c r="W49" s="344"/>
      <c r="X49" s="344"/>
      <c r="Y49" s="344"/>
      <c r="Z49" s="344"/>
      <c r="AA49" s="344"/>
      <c r="AB49" s="344"/>
      <c r="AC49" s="85"/>
      <c r="AD49" s="344"/>
      <c r="AE49" s="86"/>
      <c r="AF49" s="240"/>
    </row>
    <row r="50" spans="1:32" s="53" customFormat="1">
      <c r="A50" s="221">
        <f t="shared" si="0"/>
        <v>50</v>
      </c>
      <c r="B50" s="77"/>
      <c r="C50" s="41"/>
      <c r="D50" s="41"/>
      <c r="E50" s="33" t="s">
        <v>36</v>
      </c>
      <c r="F50" s="33"/>
      <c r="G50" s="47"/>
      <c r="H50" s="76"/>
      <c r="I50" s="238"/>
      <c r="J50" s="83">
        <f>IF('4.) Yearly Budget'!$K$18&gt;0,'4.) Yearly Budget'!K50,'4.) Yearly Budget'!J50)</f>
        <v>0</v>
      </c>
      <c r="K50" s="340">
        <f>IF(I$18&lt;&gt;0,I50-J50,0)</f>
        <v>0</v>
      </c>
      <c r="L50" s="81"/>
      <c r="M50" s="83">
        <f>IF('4.) Yearly Budget'!$N$18&gt;0,'4.) Yearly Budget'!N50,'4.) Yearly Budget'!M50)</f>
        <v>0</v>
      </c>
      <c r="N50" s="340">
        <f>IF(L$18&lt;&gt;0,L50-M50,0)</f>
        <v>0</v>
      </c>
      <c r="O50" s="81"/>
      <c r="P50" s="83">
        <f>IF('4.) Yearly Budget'!$Q$18&gt;0,'4.) Yearly Budget'!Q50,'4.) Yearly Budget'!P50)</f>
        <v>0</v>
      </c>
      <c r="Q50" s="340">
        <f>IF(O$18&lt;&gt;0,O50-P50,0)</f>
        <v>0</v>
      </c>
      <c r="R50" s="81"/>
      <c r="S50" s="83">
        <f>IF('4.) Yearly Budget'!$T$18&gt;0,'4.) Yearly Budget'!T50,'4.) Yearly Budget'!S50)</f>
        <v>0</v>
      </c>
      <c r="T50" s="86">
        <f>IF(R$18&lt;&gt;0,R50-S50,0)</f>
        <v>0</v>
      </c>
      <c r="U50" s="239">
        <f>IF(I$6&lt;&gt;0,I50,0)+IF(L$6&lt;&gt;0,L50,0)+IF(O$6&lt;&gt;0,O50,0)+IF(R$6&lt;&gt;0,R50,0)</f>
        <v>0</v>
      </c>
      <c r="V50" s="337">
        <f>SUM(IF(I$6&lt;&gt;0,J50,0)+IF(L$6&lt;&gt;0,M50,0)+IF(O$6&lt;&gt;0,P50,0)+IF(R$6&lt;&gt;0,S50,0))</f>
        <v>0</v>
      </c>
      <c r="W50" s="337">
        <f>U50-V50</f>
        <v>0</v>
      </c>
      <c r="X50" s="337">
        <f>'4.) Yearly Budget'!W50</f>
        <v>0</v>
      </c>
      <c r="Y50" s="338">
        <f>IF(U50&lt;&gt;0,U50-X50,IF(U50=0,-X50,0))</f>
        <v>0</v>
      </c>
      <c r="Z50" s="339">
        <f>SUM(IF(I$18&lt;&gt;0,'4.) Yearly Budget'!J50,0)+IF(L$18&lt;&gt;0,'4.) Yearly Budget'!M50,0)+IF(O$18&lt;&gt;0,'4.) Yearly Budget'!P50,0)+IF(R$18&lt;&gt;0,'4.) Yearly Budget'!S50,0))</f>
        <v>0</v>
      </c>
      <c r="AA50" s="339">
        <f>U50-Z50</f>
        <v>0</v>
      </c>
      <c r="AB50" s="339">
        <f>'4.) Yearly Budget'!V50</f>
        <v>0</v>
      </c>
      <c r="AC50" s="340">
        <f>IF(U50&lt;&gt;0,U50-AB50,IF(U50=0,-AB50,0))</f>
        <v>0</v>
      </c>
      <c r="AD50" s="339">
        <f>IF(U$6&lt;&gt;0,'4.) Yearly Budget'!I50/$AM$18,0)</f>
        <v>0</v>
      </c>
      <c r="AE50" s="86">
        <f>U50-AD50</f>
        <v>0</v>
      </c>
      <c r="AF50" s="240"/>
    </row>
    <row r="51" spans="1:32" s="53" customFormat="1">
      <c r="A51" s="221">
        <f t="shared" si="0"/>
        <v>51</v>
      </c>
      <c r="B51" s="77"/>
      <c r="C51" s="41"/>
      <c r="D51" s="41"/>
      <c r="E51" s="33" t="s">
        <v>29</v>
      </c>
      <c r="F51" s="33"/>
      <c r="G51" s="47"/>
      <c r="H51" s="76"/>
      <c r="I51" s="238"/>
      <c r="J51" s="83">
        <f>IF('4.) Yearly Budget'!$K$18&gt;0,'4.) Yearly Budget'!K51,'4.) Yearly Budget'!J51)</f>
        <v>0</v>
      </c>
      <c r="K51" s="340">
        <f>IF(I$18&lt;&gt;0,I51-J51,0)</f>
        <v>0</v>
      </c>
      <c r="L51" s="81"/>
      <c r="M51" s="83">
        <f>IF('4.) Yearly Budget'!$N$18&gt;0,'4.) Yearly Budget'!N51,'4.) Yearly Budget'!M51)</f>
        <v>0</v>
      </c>
      <c r="N51" s="340">
        <f>IF(L$18&lt;&gt;0,L51-M51,0)</f>
        <v>0</v>
      </c>
      <c r="O51" s="81"/>
      <c r="P51" s="83">
        <f>IF('4.) Yearly Budget'!$Q$18&gt;0,'4.) Yearly Budget'!Q51,'4.) Yearly Budget'!P51)</f>
        <v>0</v>
      </c>
      <c r="Q51" s="340">
        <f>IF(O$18&lt;&gt;0,O51-P51,0)</f>
        <v>0</v>
      </c>
      <c r="R51" s="81"/>
      <c r="S51" s="83">
        <f>IF('4.) Yearly Budget'!$T$18&gt;0,'4.) Yearly Budget'!T51,'4.) Yearly Budget'!S51)</f>
        <v>0</v>
      </c>
      <c r="T51" s="86">
        <f>IF(R$18&lt;&gt;0,R51-S51,0)</f>
        <v>0</v>
      </c>
      <c r="U51" s="239">
        <f>IF(I$6&lt;&gt;0,I51,0)+IF(L$6&lt;&gt;0,L51,0)+IF(O$6&lt;&gt;0,O51,0)+IF(R$6&lt;&gt;0,R51,0)</f>
        <v>0</v>
      </c>
      <c r="V51" s="337">
        <f>SUM(IF(I$6&lt;&gt;0,J51,0)+IF(L$6&lt;&gt;0,M51,0)+IF(O$6&lt;&gt;0,P51,0)+IF(R$6&lt;&gt;0,S51,0))</f>
        <v>0</v>
      </c>
      <c r="W51" s="337">
        <f>U51-V51</f>
        <v>0</v>
      </c>
      <c r="X51" s="337">
        <f>'4.) Yearly Budget'!W51</f>
        <v>0</v>
      </c>
      <c r="Y51" s="338">
        <f>IF(U51&lt;&gt;0,U51-X51,IF(U51=0,-X51,0))</f>
        <v>0</v>
      </c>
      <c r="Z51" s="339">
        <f>SUM(IF(I$18&lt;&gt;0,'4.) Yearly Budget'!J51,0)+IF(L$18&lt;&gt;0,'4.) Yearly Budget'!M51,0)+IF(O$18&lt;&gt;0,'4.) Yearly Budget'!P51,0)+IF(R$18&lt;&gt;0,'4.) Yearly Budget'!S51,0))</f>
        <v>0</v>
      </c>
      <c r="AA51" s="339">
        <f>U51-Z51</f>
        <v>0</v>
      </c>
      <c r="AB51" s="339">
        <f>'4.) Yearly Budget'!V51</f>
        <v>0</v>
      </c>
      <c r="AC51" s="340">
        <f>IF(U51&lt;&gt;0,U51-AB51,IF(U51=0,-AB51,0))</f>
        <v>0</v>
      </c>
      <c r="AD51" s="339">
        <f>IF(U$6&lt;&gt;0,'4.) Yearly Budget'!I51/$AM$18,0)</f>
        <v>0</v>
      </c>
      <c r="AE51" s="86">
        <f>U51-AD51</f>
        <v>0</v>
      </c>
      <c r="AF51" s="240"/>
    </row>
    <row r="52" spans="1:32" s="53" customFormat="1" ht="17.25">
      <c r="A52" s="221">
        <f t="shared" si="0"/>
        <v>52</v>
      </c>
      <c r="B52" s="77"/>
      <c r="C52" s="41"/>
      <c r="D52" s="78" t="s">
        <v>37</v>
      </c>
      <c r="G52" s="48"/>
      <c r="H52" s="76"/>
      <c r="I52" s="246"/>
      <c r="J52" s="499">
        <f>IF('4.) Yearly Budget'!$K$18&gt;0,'4.) Yearly Budget'!K52,'4.) Yearly Budget'!J52)</f>
        <v>0</v>
      </c>
      <c r="K52" s="350">
        <f>IF(I$18&lt;&gt;0,I52-J52,0)</f>
        <v>0</v>
      </c>
      <c r="L52" s="87"/>
      <c r="M52" s="499">
        <f>IF('4.) Yearly Budget'!$N$18&gt;0,'4.) Yearly Budget'!N52,'4.) Yearly Budget'!M52)</f>
        <v>0</v>
      </c>
      <c r="N52" s="350">
        <f>IF(L$18&lt;&gt;0,L52-M52,0)</f>
        <v>0</v>
      </c>
      <c r="O52" s="87"/>
      <c r="P52" s="499">
        <f>IF('4.) Yearly Budget'!$Q$18&gt;0,'4.) Yearly Budget'!Q52,'4.) Yearly Budget'!P52)</f>
        <v>0</v>
      </c>
      <c r="Q52" s="350">
        <f>IF(O$18&lt;&gt;0,O52-P52,0)</f>
        <v>0</v>
      </c>
      <c r="R52" s="87"/>
      <c r="S52" s="499">
        <f>IF('4.) Yearly Budget'!$T$18&gt;0,'4.) Yearly Budget'!T52,'4.) Yearly Budget'!S52)</f>
        <v>0</v>
      </c>
      <c r="T52" s="346">
        <f>IF(R$18&lt;&gt;0,R52-S52,0)</f>
        <v>0</v>
      </c>
      <c r="U52" s="247">
        <f>IF(I$6&lt;&gt;0,I52,0)+IF(L$6&lt;&gt;0,L52,0)+IF(O$6&lt;&gt;0,O52,0)+IF(R$6&lt;&gt;0,R52,0)</f>
        <v>0</v>
      </c>
      <c r="V52" s="347">
        <f>SUM(IF(I$6&lt;&gt;0,J52,0)+IF(L$6&lt;&gt;0,M52,0)+IF(O$6&lt;&gt;0,P52,0)+IF(R$6&lt;&gt;0,S52,0))</f>
        <v>0</v>
      </c>
      <c r="W52" s="347">
        <f>U52-V52</f>
        <v>0</v>
      </c>
      <c r="X52" s="347">
        <f>'4.) Yearly Budget'!W52</f>
        <v>0</v>
      </c>
      <c r="Y52" s="348">
        <f>IF(U52&lt;&gt;0,U52-X52,IF(U52=0,-X52,0))</f>
        <v>0</v>
      </c>
      <c r="Z52" s="349">
        <f>SUM(IF(I$18&lt;&gt;0,'4.) Yearly Budget'!J52,0)+IF(L$18&lt;&gt;0,'4.) Yearly Budget'!M52,0)+IF(O$18&lt;&gt;0,'4.) Yearly Budget'!P52,0)+IF(R$18&lt;&gt;0,'4.) Yearly Budget'!S52,0))</f>
        <v>0</v>
      </c>
      <c r="AA52" s="349">
        <f>U52-Z52</f>
        <v>0</v>
      </c>
      <c r="AB52" s="349">
        <f>'4.) Yearly Budget'!V52</f>
        <v>0</v>
      </c>
      <c r="AC52" s="350">
        <f>IF(U52&lt;&gt;0,U52-AB52,IF(U52=0,-AB52,0))</f>
        <v>0</v>
      </c>
      <c r="AD52" s="349">
        <f>IF(U$6&lt;&gt;0,'4.) Yearly Budget'!I52/$AM$18,0)</f>
        <v>0</v>
      </c>
      <c r="AE52" s="346">
        <f>U52-AD52</f>
        <v>0</v>
      </c>
      <c r="AF52" s="240"/>
    </row>
    <row r="53" spans="1:32" s="53" customFormat="1">
      <c r="A53" s="221">
        <f t="shared" si="0"/>
        <v>53</v>
      </c>
      <c r="B53" s="77"/>
      <c r="C53" s="41" t="s">
        <v>38</v>
      </c>
      <c r="D53" s="78"/>
      <c r="G53" s="48"/>
      <c r="H53" s="76"/>
      <c r="I53" s="243">
        <f t="shared" ref="I53:AE53" si="17">SUM(I45:I52)</f>
        <v>0</v>
      </c>
      <c r="J53" s="243">
        <f t="shared" si="17"/>
        <v>0</v>
      </c>
      <c r="K53" s="351">
        <f t="shared" si="17"/>
        <v>0</v>
      </c>
      <c r="L53" s="83">
        <f t="shared" si="17"/>
        <v>0</v>
      </c>
      <c r="M53" s="133">
        <f t="shared" si="17"/>
        <v>0</v>
      </c>
      <c r="N53" s="351">
        <f t="shared" si="17"/>
        <v>0</v>
      </c>
      <c r="O53" s="83">
        <f t="shared" si="17"/>
        <v>0</v>
      </c>
      <c r="P53" s="133">
        <f t="shared" si="17"/>
        <v>0</v>
      </c>
      <c r="Q53" s="351">
        <f t="shared" si="17"/>
        <v>0</v>
      </c>
      <c r="R53" s="83">
        <f t="shared" si="17"/>
        <v>0</v>
      </c>
      <c r="S53" s="133">
        <f t="shared" si="17"/>
        <v>0</v>
      </c>
      <c r="T53" s="84">
        <f t="shared" si="17"/>
        <v>0</v>
      </c>
      <c r="U53" s="245">
        <f t="shared" si="17"/>
        <v>0</v>
      </c>
      <c r="V53" s="352">
        <f t="shared" si="17"/>
        <v>0</v>
      </c>
      <c r="W53" s="352">
        <f t="shared" si="17"/>
        <v>0</v>
      </c>
      <c r="X53" s="352">
        <f t="shared" si="17"/>
        <v>0</v>
      </c>
      <c r="Y53" s="85">
        <f t="shared" si="17"/>
        <v>0</v>
      </c>
      <c r="Z53" s="353">
        <f t="shared" si="17"/>
        <v>0</v>
      </c>
      <c r="AA53" s="113">
        <f t="shared" si="17"/>
        <v>0</v>
      </c>
      <c r="AB53" s="113">
        <f t="shared" si="17"/>
        <v>0</v>
      </c>
      <c r="AC53" s="351">
        <f t="shared" si="17"/>
        <v>0</v>
      </c>
      <c r="AD53" s="353">
        <f t="shared" si="17"/>
        <v>0</v>
      </c>
      <c r="AE53" s="86">
        <f t="shared" si="17"/>
        <v>0</v>
      </c>
      <c r="AF53" s="240"/>
    </row>
    <row r="54" spans="1:32" s="53" customFormat="1" ht="7.5" customHeight="1">
      <c r="A54" s="221">
        <f t="shared" si="0"/>
        <v>54</v>
      </c>
      <c r="B54" s="77"/>
      <c r="C54" s="41"/>
      <c r="D54" s="41"/>
      <c r="E54" s="44"/>
      <c r="F54" s="44"/>
      <c r="G54" s="42"/>
      <c r="H54" s="76"/>
      <c r="I54" s="88"/>
      <c r="J54" s="88"/>
      <c r="K54" s="88"/>
      <c r="L54" s="88"/>
      <c r="M54" s="88"/>
      <c r="N54" s="88"/>
      <c r="O54" s="88"/>
      <c r="P54" s="88"/>
      <c r="Q54" s="88"/>
      <c r="R54" s="88"/>
      <c r="S54" s="88"/>
      <c r="T54" s="89"/>
      <c r="U54" s="88"/>
      <c r="V54" s="88"/>
      <c r="W54" s="88"/>
      <c r="X54" s="88"/>
      <c r="Y54" s="88"/>
      <c r="Z54" s="88"/>
      <c r="AA54" s="88"/>
      <c r="AB54" s="88"/>
      <c r="AC54" s="88"/>
      <c r="AD54" s="88"/>
      <c r="AE54" s="89"/>
      <c r="AF54" s="240"/>
    </row>
    <row r="55" spans="1:32" s="53" customFormat="1">
      <c r="A55" s="221">
        <f t="shared" si="0"/>
        <v>55</v>
      </c>
      <c r="B55" s="74"/>
      <c r="C55" s="75" t="s">
        <v>39</v>
      </c>
      <c r="D55" s="75"/>
      <c r="E55" s="44"/>
      <c r="F55" s="44"/>
      <c r="G55" s="42"/>
      <c r="H55" s="76"/>
      <c r="I55" s="79"/>
      <c r="J55" s="79"/>
      <c r="K55" s="79"/>
      <c r="L55" s="79"/>
      <c r="M55" s="79"/>
      <c r="N55" s="79"/>
      <c r="O55" s="79"/>
      <c r="P55" s="79"/>
      <c r="Q55" s="79"/>
      <c r="R55" s="79"/>
      <c r="S55" s="79"/>
      <c r="T55" s="80"/>
      <c r="U55" s="79"/>
      <c r="V55" s="79"/>
      <c r="W55" s="79"/>
      <c r="X55" s="79"/>
      <c r="Y55" s="79"/>
      <c r="Z55" s="79"/>
      <c r="AA55" s="79"/>
      <c r="AB55" s="79"/>
      <c r="AC55" s="79"/>
      <c r="AD55" s="79"/>
      <c r="AE55" s="80"/>
      <c r="AF55" s="240"/>
    </row>
    <row r="56" spans="1:32" s="53" customFormat="1">
      <c r="A56" s="221">
        <f t="shared" si="0"/>
        <v>56</v>
      </c>
      <c r="B56" s="77"/>
      <c r="C56" s="41"/>
      <c r="D56" s="78" t="s">
        <v>40</v>
      </c>
      <c r="G56" s="48"/>
      <c r="H56" s="76"/>
      <c r="I56" s="238"/>
      <c r="J56" s="83">
        <f>IF('4.) Yearly Budget'!$K$18&gt;0,'4.) Yearly Budget'!K56,'4.) Yearly Budget'!J56)</f>
        <v>0</v>
      </c>
      <c r="K56" s="340">
        <f t="shared" ref="K56:K63" si="18">IF(I$18&lt;&gt;0,I56-J56,0)</f>
        <v>0</v>
      </c>
      <c r="L56" s="81"/>
      <c r="M56" s="83">
        <f>IF('4.) Yearly Budget'!$N$18&gt;0,'4.) Yearly Budget'!N56,'4.) Yearly Budget'!M56)</f>
        <v>0</v>
      </c>
      <c r="N56" s="340">
        <f t="shared" ref="N56:N63" si="19">IF(L$18&lt;&gt;0,L56-M56,0)</f>
        <v>0</v>
      </c>
      <c r="O56" s="81"/>
      <c r="P56" s="83">
        <f>IF('4.) Yearly Budget'!$Q$18&gt;0,'4.) Yearly Budget'!Q56,'4.) Yearly Budget'!P56)</f>
        <v>0</v>
      </c>
      <c r="Q56" s="340">
        <f t="shared" ref="Q56:Q63" si="20">IF(O$18&lt;&gt;0,O56-P56,0)</f>
        <v>0</v>
      </c>
      <c r="R56" s="81"/>
      <c r="S56" s="83">
        <f>IF('4.) Yearly Budget'!$T$18&gt;0,'4.) Yearly Budget'!T56,'4.) Yearly Budget'!S56)</f>
        <v>0</v>
      </c>
      <c r="T56" s="86">
        <f t="shared" ref="T56:T63" si="21">IF(R$18&lt;&gt;0,R56-S56,0)</f>
        <v>0</v>
      </c>
      <c r="U56" s="239">
        <f t="shared" ref="U56:U63" si="22">IF(I$6&lt;&gt;0,I56,0)+IF(L$6&lt;&gt;0,L56,0)+IF(O$6&lt;&gt;0,O56,0)+IF(R$6&lt;&gt;0,R56,0)</f>
        <v>0</v>
      </c>
      <c r="V56" s="337">
        <f t="shared" ref="V56:V63" si="23">SUM(IF(I$6&lt;&gt;0,J56,0)+IF(L$6&lt;&gt;0,M56,0)+IF(O$6&lt;&gt;0,P56,0)+IF(R$6&lt;&gt;0,S56,0))</f>
        <v>0</v>
      </c>
      <c r="W56" s="337">
        <f t="shared" ref="W56:W63" si="24">U56-V56</f>
        <v>0</v>
      </c>
      <c r="X56" s="337">
        <f>'4.) Yearly Budget'!W56</f>
        <v>0</v>
      </c>
      <c r="Y56" s="338">
        <f t="shared" ref="Y56:Y63" si="25">IF(U56&lt;&gt;0,U56-X56,IF(U56=0,-X56,0))</f>
        <v>0</v>
      </c>
      <c r="Z56" s="339">
        <f>SUM(IF(I$18&lt;&gt;0,'4.) Yearly Budget'!J56,0)+IF(L$18&lt;&gt;0,'4.) Yearly Budget'!M56,0)+IF(O$18&lt;&gt;0,'4.) Yearly Budget'!P56,0)+IF(R$18&lt;&gt;0,'4.) Yearly Budget'!S56,0))</f>
        <v>0</v>
      </c>
      <c r="AA56" s="339">
        <f t="shared" ref="AA56:AA63" si="26">U56-Z56</f>
        <v>0</v>
      </c>
      <c r="AB56" s="339">
        <f>'4.) Yearly Budget'!V56</f>
        <v>0</v>
      </c>
      <c r="AC56" s="340">
        <f t="shared" ref="AC56:AC63" si="27">IF(U56&lt;&gt;0,U56-AB56,IF(U56=0,-AB56,0))</f>
        <v>0</v>
      </c>
      <c r="AD56" s="339">
        <f>IF(U$6&lt;&gt;0,'4.) Yearly Budget'!I56/$AM$18,0)</f>
        <v>0</v>
      </c>
      <c r="AE56" s="86">
        <f t="shared" ref="AE56:AE63" si="28">U56-AD56</f>
        <v>0</v>
      </c>
      <c r="AF56" s="240"/>
    </row>
    <row r="57" spans="1:32" s="53" customFormat="1">
      <c r="A57" s="221">
        <f t="shared" si="0"/>
        <v>57</v>
      </c>
      <c r="B57" s="77"/>
      <c r="C57" s="41"/>
      <c r="D57" s="78" t="s">
        <v>41</v>
      </c>
      <c r="G57" s="48"/>
      <c r="H57" s="76"/>
      <c r="I57" s="238"/>
      <c r="J57" s="83">
        <f>IF('4.) Yearly Budget'!$K$18&gt;0,'4.) Yearly Budget'!K57,'4.) Yearly Budget'!J57)</f>
        <v>0</v>
      </c>
      <c r="K57" s="340">
        <f t="shared" si="18"/>
        <v>0</v>
      </c>
      <c r="L57" s="81"/>
      <c r="M57" s="83">
        <f>IF('4.) Yearly Budget'!$N$18&gt;0,'4.) Yearly Budget'!N57,'4.) Yearly Budget'!M57)</f>
        <v>0</v>
      </c>
      <c r="N57" s="340">
        <f t="shared" si="19"/>
        <v>0</v>
      </c>
      <c r="O57" s="81"/>
      <c r="P57" s="83">
        <f>IF('4.) Yearly Budget'!$Q$18&gt;0,'4.) Yearly Budget'!Q57,'4.) Yearly Budget'!P57)</f>
        <v>0</v>
      </c>
      <c r="Q57" s="340">
        <f t="shared" si="20"/>
        <v>0</v>
      </c>
      <c r="R57" s="81"/>
      <c r="S57" s="83">
        <f>IF('4.) Yearly Budget'!$T$18&gt;0,'4.) Yearly Budget'!T57,'4.) Yearly Budget'!S57)</f>
        <v>0</v>
      </c>
      <c r="T57" s="86">
        <f t="shared" si="21"/>
        <v>0</v>
      </c>
      <c r="U57" s="239">
        <f t="shared" si="22"/>
        <v>0</v>
      </c>
      <c r="V57" s="337">
        <f t="shared" si="23"/>
        <v>0</v>
      </c>
      <c r="W57" s="337">
        <f t="shared" si="24"/>
        <v>0</v>
      </c>
      <c r="X57" s="337">
        <f>'4.) Yearly Budget'!W57</f>
        <v>0</v>
      </c>
      <c r="Y57" s="338">
        <f t="shared" si="25"/>
        <v>0</v>
      </c>
      <c r="Z57" s="339">
        <f>SUM(IF(I$18&lt;&gt;0,'4.) Yearly Budget'!J57,0)+IF(L$18&lt;&gt;0,'4.) Yearly Budget'!M57,0)+IF(O$18&lt;&gt;0,'4.) Yearly Budget'!P57,0)+IF(R$18&lt;&gt;0,'4.) Yearly Budget'!S57,0))</f>
        <v>0</v>
      </c>
      <c r="AA57" s="339">
        <f t="shared" si="26"/>
        <v>0</v>
      </c>
      <c r="AB57" s="339">
        <f>'4.) Yearly Budget'!V57</f>
        <v>0</v>
      </c>
      <c r="AC57" s="340">
        <f t="shared" si="27"/>
        <v>0</v>
      </c>
      <c r="AD57" s="339">
        <f>IF(U$6&lt;&gt;0,'4.) Yearly Budget'!I57/$AM$18,0)</f>
        <v>0</v>
      </c>
      <c r="AE57" s="86">
        <f t="shared" si="28"/>
        <v>0</v>
      </c>
      <c r="AF57" s="240"/>
    </row>
    <row r="58" spans="1:32" s="53" customFormat="1">
      <c r="A58" s="221">
        <f t="shared" si="0"/>
        <v>58</v>
      </c>
      <c r="B58" s="77"/>
      <c r="C58" s="41"/>
      <c r="D58" s="78" t="s">
        <v>42</v>
      </c>
      <c r="G58" s="48"/>
      <c r="H58" s="76"/>
      <c r="I58" s="238"/>
      <c r="J58" s="83">
        <f>IF('4.) Yearly Budget'!$K$18&gt;0,'4.) Yearly Budget'!K58,'4.) Yearly Budget'!J58)</f>
        <v>0</v>
      </c>
      <c r="K58" s="340">
        <f t="shared" si="18"/>
        <v>0</v>
      </c>
      <c r="L58" s="81"/>
      <c r="M58" s="83">
        <f>IF('4.) Yearly Budget'!$N$18&gt;0,'4.) Yearly Budget'!N58,'4.) Yearly Budget'!M58)</f>
        <v>0</v>
      </c>
      <c r="N58" s="340">
        <f t="shared" si="19"/>
        <v>0</v>
      </c>
      <c r="O58" s="81"/>
      <c r="P58" s="83">
        <f>IF('4.) Yearly Budget'!$Q$18&gt;0,'4.) Yearly Budget'!Q58,'4.) Yearly Budget'!P58)</f>
        <v>0</v>
      </c>
      <c r="Q58" s="340">
        <f t="shared" si="20"/>
        <v>0</v>
      </c>
      <c r="R58" s="81"/>
      <c r="S58" s="83">
        <f>IF('4.) Yearly Budget'!$T$18&gt;0,'4.) Yearly Budget'!T58,'4.) Yearly Budget'!S58)</f>
        <v>0</v>
      </c>
      <c r="T58" s="86">
        <f t="shared" si="21"/>
        <v>0</v>
      </c>
      <c r="U58" s="239">
        <f t="shared" si="22"/>
        <v>0</v>
      </c>
      <c r="V58" s="337">
        <f t="shared" si="23"/>
        <v>0</v>
      </c>
      <c r="W58" s="337">
        <f t="shared" si="24"/>
        <v>0</v>
      </c>
      <c r="X58" s="337">
        <f>'4.) Yearly Budget'!W58</f>
        <v>0</v>
      </c>
      <c r="Y58" s="338">
        <f t="shared" si="25"/>
        <v>0</v>
      </c>
      <c r="Z58" s="339">
        <f>SUM(IF(I$18&lt;&gt;0,'4.) Yearly Budget'!J58,0)+IF(L$18&lt;&gt;0,'4.) Yearly Budget'!M58,0)+IF(O$18&lt;&gt;0,'4.) Yearly Budget'!P58,0)+IF(R$18&lt;&gt;0,'4.) Yearly Budget'!S58,0))</f>
        <v>0</v>
      </c>
      <c r="AA58" s="339">
        <f t="shared" si="26"/>
        <v>0</v>
      </c>
      <c r="AB58" s="339">
        <f>'4.) Yearly Budget'!V58</f>
        <v>0</v>
      </c>
      <c r="AC58" s="340">
        <f t="shared" si="27"/>
        <v>0</v>
      </c>
      <c r="AD58" s="339">
        <f>IF(U$6&lt;&gt;0,'4.) Yearly Budget'!I58/$AM$18,0)</f>
        <v>0</v>
      </c>
      <c r="AE58" s="86">
        <f t="shared" si="28"/>
        <v>0</v>
      </c>
      <c r="AF58" s="240"/>
    </row>
    <row r="59" spans="1:32" s="53" customFormat="1">
      <c r="A59" s="221">
        <f t="shared" si="0"/>
        <v>59</v>
      </c>
      <c r="B59" s="77"/>
      <c r="C59" s="41"/>
      <c r="D59" s="78" t="s">
        <v>43</v>
      </c>
      <c r="G59" s="48"/>
      <c r="H59" s="76"/>
      <c r="I59" s="238"/>
      <c r="J59" s="83">
        <f>IF('4.) Yearly Budget'!$K$18&gt;0,'4.) Yearly Budget'!K59,'4.) Yearly Budget'!J59)</f>
        <v>0</v>
      </c>
      <c r="K59" s="340">
        <f t="shared" si="18"/>
        <v>0</v>
      </c>
      <c r="L59" s="81"/>
      <c r="M59" s="83">
        <f>IF('4.) Yearly Budget'!$N$18&gt;0,'4.) Yearly Budget'!N59,'4.) Yearly Budget'!M59)</f>
        <v>0</v>
      </c>
      <c r="N59" s="340">
        <f t="shared" si="19"/>
        <v>0</v>
      </c>
      <c r="O59" s="81"/>
      <c r="P59" s="83">
        <f>IF('4.) Yearly Budget'!$Q$18&gt;0,'4.) Yearly Budget'!Q59,'4.) Yearly Budget'!P59)</f>
        <v>0</v>
      </c>
      <c r="Q59" s="340">
        <f t="shared" si="20"/>
        <v>0</v>
      </c>
      <c r="R59" s="81"/>
      <c r="S59" s="83">
        <f>IF('4.) Yearly Budget'!$T$18&gt;0,'4.) Yearly Budget'!T59,'4.) Yearly Budget'!S59)</f>
        <v>0</v>
      </c>
      <c r="T59" s="86">
        <f t="shared" si="21"/>
        <v>0</v>
      </c>
      <c r="U59" s="239">
        <f t="shared" si="22"/>
        <v>0</v>
      </c>
      <c r="V59" s="337">
        <f t="shared" si="23"/>
        <v>0</v>
      </c>
      <c r="W59" s="337">
        <f t="shared" si="24"/>
        <v>0</v>
      </c>
      <c r="X59" s="337">
        <f>'4.) Yearly Budget'!W59</f>
        <v>0</v>
      </c>
      <c r="Y59" s="338">
        <f t="shared" si="25"/>
        <v>0</v>
      </c>
      <c r="Z59" s="339">
        <f>SUM(IF(I$18&lt;&gt;0,'4.) Yearly Budget'!J59,0)+IF(L$18&lt;&gt;0,'4.) Yearly Budget'!M59,0)+IF(O$18&lt;&gt;0,'4.) Yearly Budget'!P59,0)+IF(R$18&lt;&gt;0,'4.) Yearly Budget'!S59,0))</f>
        <v>0</v>
      </c>
      <c r="AA59" s="339">
        <f t="shared" si="26"/>
        <v>0</v>
      </c>
      <c r="AB59" s="339">
        <f>'4.) Yearly Budget'!V59</f>
        <v>0</v>
      </c>
      <c r="AC59" s="340">
        <f t="shared" si="27"/>
        <v>0</v>
      </c>
      <c r="AD59" s="339">
        <f>IF(U$6&lt;&gt;0,'4.) Yearly Budget'!I59/$AM$18,0)</f>
        <v>0</v>
      </c>
      <c r="AE59" s="86">
        <f t="shared" si="28"/>
        <v>0</v>
      </c>
      <c r="AF59" s="240"/>
    </row>
    <row r="60" spans="1:32" s="53" customFormat="1">
      <c r="A60" s="221">
        <f t="shared" si="0"/>
        <v>60</v>
      </c>
      <c r="B60" s="77"/>
      <c r="C60" s="41"/>
      <c r="D60" s="78" t="s">
        <v>44</v>
      </c>
      <c r="G60" s="48"/>
      <c r="H60" s="76"/>
      <c r="I60" s="238"/>
      <c r="J60" s="83">
        <f>IF('4.) Yearly Budget'!$K$18&gt;0,'4.) Yearly Budget'!K60,'4.) Yearly Budget'!J60)</f>
        <v>0</v>
      </c>
      <c r="K60" s="340">
        <f t="shared" si="18"/>
        <v>0</v>
      </c>
      <c r="L60" s="81"/>
      <c r="M60" s="83">
        <f>IF('4.) Yearly Budget'!$N$18&gt;0,'4.) Yearly Budget'!N60,'4.) Yearly Budget'!M60)</f>
        <v>0</v>
      </c>
      <c r="N60" s="340">
        <f t="shared" si="19"/>
        <v>0</v>
      </c>
      <c r="O60" s="81"/>
      <c r="P60" s="83">
        <f>IF('4.) Yearly Budget'!$Q$18&gt;0,'4.) Yearly Budget'!Q60,'4.) Yearly Budget'!P60)</f>
        <v>0</v>
      </c>
      <c r="Q60" s="340">
        <f t="shared" si="20"/>
        <v>0</v>
      </c>
      <c r="R60" s="81"/>
      <c r="S60" s="83">
        <f>IF('4.) Yearly Budget'!$T$18&gt;0,'4.) Yearly Budget'!T60,'4.) Yearly Budget'!S60)</f>
        <v>0</v>
      </c>
      <c r="T60" s="86">
        <f t="shared" si="21"/>
        <v>0</v>
      </c>
      <c r="U60" s="239">
        <f t="shared" si="22"/>
        <v>0</v>
      </c>
      <c r="V60" s="337">
        <f t="shared" si="23"/>
        <v>0</v>
      </c>
      <c r="W60" s="337">
        <f t="shared" si="24"/>
        <v>0</v>
      </c>
      <c r="X60" s="337">
        <f>'4.) Yearly Budget'!W60</f>
        <v>0</v>
      </c>
      <c r="Y60" s="338">
        <f t="shared" si="25"/>
        <v>0</v>
      </c>
      <c r="Z60" s="339">
        <f>SUM(IF(I$18&lt;&gt;0,'4.) Yearly Budget'!J60,0)+IF(L$18&lt;&gt;0,'4.) Yearly Budget'!M60,0)+IF(O$18&lt;&gt;0,'4.) Yearly Budget'!P60,0)+IF(R$18&lt;&gt;0,'4.) Yearly Budget'!S60,0))</f>
        <v>0</v>
      </c>
      <c r="AA60" s="339">
        <f t="shared" si="26"/>
        <v>0</v>
      </c>
      <c r="AB60" s="339">
        <f>'4.) Yearly Budget'!V60</f>
        <v>0</v>
      </c>
      <c r="AC60" s="340">
        <f t="shared" si="27"/>
        <v>0</v>
      </c>
      <c r="AD60" s="339">
        <f>IF(U$6&lt;&gt;0,'4.) Yearly Budget'!I60/$AM$18,0)</f>
        <v>0</v>
      </c>
      <c r="AE60" s="86">
        <f t="shared" si="28"/>
        <v>0</v>
      </c>
      <c r="AF60" s="240"/>
    </row>
    <row r="61" spans="1:32" s="53" customFormat="1">
      <c r="A61" s="221">
        <f t="shared" si="0"/>
        <v>61</v>
      </c>
      <c r="B61" s="77"/>
      <c r="C61" s="41"/>
      <c r="D61" s="78" t="s">
        <v>45</v>
      </c>
      <c r="G61" s="48"/>
      <c r="H61" s="76"/>
      <c r="I61" s="238"/>
      <c r="J61" s="83">
        <f>IF('4.) Yearly Budget'!$K$18&gt;0,'4.) Yearly Budget'!K61,'4.) Yearly Budget'!J61)</f>
        <v>0</v>
      </c>
      <c r="K61" s="340">
        <f t="shared" si="18"/>
        <v>0</v>
      </c>
      <c r="L61" s="81"/>
      <c r="M61" s="83">
        <f>IF('4.) Yearly Budget'!$N$18&gt;0,'4.) Yearly Budget'!N61,'4.) Yearly Budget'!M61)</f>
        <v>0</v>
      </c>
      <c r="N61" s="340">
        <f t="shared" si="19"/>
        <v>0</v>
      </c>
      <c r="O61" s="81"/>
      <c r="P61" s="83">
        <f>IF('4.) Yearly Budget'!$Q$18&gt;0,'4.) Yearly Budget'!Q61,'4.) Yearly Budget'!P61)</f>
        <v>0</v>
      </c>
      <c r="Q61" s="340">
        <f t="shared" si="20"/>
        <v>0</v>
      </c>
      <c r="R61" s="81"/>
      <c r="S61" s="83">
        <f>IF('4.) Yearly Budget'!$T$18&gt;0,'4.) Yearly Budget'!T61,'4.) Yearly Budget'!S61)</f>
        <v>0</v>
      </c>
      <c r="T61" s="86">
        <f t="shared" si="21"/>
        <v>0</v>
      </c>
      <c r="U61" s="239">
        <f t="shared" si="22"/>
        <v>0</v>
      </c>
      <c r="V61" s="337">
        <f t="shared" si="23"/>
        <v>0</v>
      </c>
      <c r="W61" s="337">
        <f t="shared" si="24"/>
        <v>0</v>
      </c>
      <c r="X61" s="337">
        <f>'4.) Yearly Budget'!W61</f>
        <v>0</v>
      </c>
      <c r="Y61" s="338">
        <f t="shared" si="25"/>
        <v>0</v>
      </c>
      <c r="Z61" s="339">
        <f>SUM(IF(I$18&lt;&gt;0,'4.) Yearly Budget'!J61,0)+IF(L$18&lt;&gt;0,'4.) Yearly Budget'!M61,0)+IF(O$18&lt;&gt;0,'4.) Yearly Budget'!P61,0)+IF(R$18&lt;&gt;0,'4.) Yearly Budget'!S61,0))</f>
        <v>0</v>
      </c>
      <c r="AA61" s="339">
        <f t="shared" si="26"/>
        <v>0</v>
      </c>
      <c r="AB61" s="339">
        <f>'4.) Yearly Budget'!V61</f>
        <v>0</v>
      </c>
      <c r="AC61" s="340">
        <f t="shared" si="27"/>
        <v>0</v>
      </c>
      <c r="AD61" s="339">
        <f>IF(U$6&lt;&gt;0,'4.) Yearly Budget'!I61/$AM$18,0)</f>
        <v>0</v>
      </c>
      <c r="AE61" s="86">
        <f t="shared" si="28"/>
        <v>0</v>
      </c>
      <c r="AF61" s="240"/>
    </row>
    <row r="62" spans="1:32" s="53" customFormat="1">
      <c r="A62" s="221">
        <f t="shared" si="0"/>
        <v>62</v>
      </c>
      <c r="B62" s="77"/>
      <c r="C62" s="41"/>
      <c r="D62" s="78" t="s">
        <v>46</v>
      </c>
      <c r="G62" s="48"/>
      <c r="H62" s="76"/>
      <c r="I62" s="238"/>
      <c r="J62" s="83">
        <f>IF('4.) Yearly Budget'!$K$18&gt;0,'4.) Yearly Budget'!K62,'4.) Yearly Budget'!J62)</f>
        <v>0</v>
      </c>
      <c r="K62" s="340">
        <f t="shared" si="18"/>
        <v>0</v>
      </c>
      <c r="L62" s="81"/>
      <c r="M62" s="83">
        <f>IF('4.) Yearly Budget'!$N$18&gt;0,'4.) Yearly Budget'!N62,'4.) Yearly Budget'!M62)</f>
        <v>0</v>
      </c>
      <c r="N62" s="340">
        <f t="shared" si="19"/>
        <v>0</v>
      </c>
      <c r="O62" s="81"/>
      <c r="P62" s="83">
        <f>IF('4.) Yearly Budget'!$Q$18&gt;0,'4.) Yearly Budget'!Q62,'4.) Yearly Budget'!P62)</f>
        <v>0</v>
      </c>
      <c r="Q62" s="340">
        <f t="shared" si="20"/>
        <v>0</v>
      </c>
      <c r="R62" s="81"/>
      <c r="S62" s="83">
        <f>IF('4.) Yearly Budget'!$T$18&gt;0,'4.) Yearly Budget'!T62,'4.) Yearly Budget'!S62)</f>
        <v>0</v>
      </c>
      <c r="T62" s="86">
        <f t="shared" si="21"/>
        <v>0</v>
      </c>
      <c r="U62" s="239">
        <f t="shared" si="22"/>
        <v>0</v>
      </c>
      <c r="V62" s="337">
        <f t="shared" si="23"/>
        <v>0</v>
      </c>
      <c r="W62" s="337">
        <f t="shared" si="24"/>
        <v>0</v>
      </c>
      <c r="X62" s="337">
        <f>'4.) Yearly Budget'!W62</f>
        <v>0</v>
      </c>
      <c r="Y62" s="338">
        <f t="shared" si="25"/>
        <v>0</v>
      </c>
      <c r="Z62" s="339">
        <f>SUM(IF(I$18&lt;&gt;0,'4.) Yearly Budget'!J62,0)+IF(L$18&lt;&gt;0,'4.) Yearly Budget'!M62,0)+IF(O$18&lt;&gt;0,'4.) Yearly Budget'!P62,0)+IF(R$18&lt;&gt;0,'4.) Yearly Budget'!S62,0))</f>
        <v>0</v>
      </c>
      <c r="AA62" s="339">
        <f t="shared" si="26"/>
        <v>0</v>
      </c>
      <c r="AB62" s="339">
        <f>'4.) Yearly Budget'!V62</f>
        <v>0</v>
      </c>
      <c r="AC62" s="340">
        <f t="shared" si="27"/>
        <v>0</v>
      </c>
      <c r="AD62" s="339">
        <f>IF(U$6&lt;&gt;0,'4.) Yearly Budget'!I62/$AM$18,0)</f>
        <v>0</v>
      </c>
      <c r="AE62" s="86">
        <f t="shared" si="28"/>
        <v>0</v>
      </c>
      <c r="AF62" s="240"/>
    </row>
    <row r="63" spans="1:32" s="53" customFormat="1" ht="17.25">
      <c r="A63" s="221">
        <f t="shared" si="0"/>
        <v>63</v>
      </c>
      <c r="B63" s="77"/>
      <c r="C63" s="41"/>
      <c r="D63" s="78" t="s">
        <v>47</v>
      </c>
      <c r="G63" s="48"/>
      <c r="H63" s="76"/>
      <c r="I63" s="246"/>
      <c r="J63" s="499">
        <f>IF('4.) Yearly Budget'!$K$18&gt;0,'4.) Yearly Budget'!K63,'4.) Yearly Budget'!J63)</f>
        <v>0</v>
      </c>
      <c r="K63" s="350">
        <f t="shared" si="18"/>
        <v>0</v>
      </c>
      <c r="L63" s="87"/>
      <c r="M63" s="499">
        <f>IF('4.) Yearly Budget'!$N$18&gt;0,'4.) Yearly Budget'!N63,'4.) Yearly Budget'!M63)</f>
        <v>0</v>
      </c>
      <c r="N63" s="350">
        <f t="shared" si="19"/>
        <v>0</v>
      </c>
      <c r="O63" s="87"/>
      <c r="P63" s="499">
        <f>IF('4.) Yearly Budget'!$Q$18&gt;0,'4.) Yearly Budget'!Q63,'4.) Yearly Budget'!P63)</f>
        <v>0</v>
      </c>
      <c r="Q63" s="350">
        <f t="shared" si="20"/>
        <v>0</v>
      </c>
      <c r="R63" s="87"/>
      <c r="S63" s="499">
        <f>IF('4.) Yearly Budget'!$T$18&gt;0,'4.) Yearly Budget'!T63,'4.) Yearly Budget'!S63)</f>
        <v>0</v>
      </c>
      <c r="T63" s="346">
        <f t="shared" si="21"/>
        <v>0</v>
      </c>
      <c r="U63" s="247">
        <f t="shared" si="22"/>
        <v>0</v>
      </c>
      <c r="V63" s="347">
        <f t="shared" si="23"/>
        <v>0</v>
      </c>
      <c r="W63" s="347">
        <f t="shared" si="24"/>
        <v>0</v>
      </c>
      <c r="X63" s="347">
        <f>'4.) Yearly Budget'!W63</f>
        <v>0</v>
      </c>
      <c r="Y63" s="348">
        <f t="shared" si="25"/>
        <v>0</v>
      </c>
      <c r="Z63" s="349">
        <f>SUM(IF(I$18&lt;&gt;0,'4.) Yearly Budget'!J63,0)+IF(L$18&lt;&gt;0,'4.) Yearly Budget'!M63,0)+IF(O$18&lt;&gt;0,'4.) Yearly Budget'!P63,0)+IF(R$18&lt;&gt;0,'4.) Yearly Budget'!S63,0))</f>
        <v>0</v>
      </c>
      <c r="AA63" s="349">
        <f t="shared" si="26"/>
        <v>0</v>
      </c>
      <c r="AB63" s="349">
        <f>'4.) Yearly Budget'!V63</f>
        <v>0</v>
      </c>
      <c r="AC63" s="350">
        <f t="shared" si="27"/>
        <v>0</v>
      </c>
      <c r="AD63" s="349">
        <f>IF(U$6&lt;&gt;0,'4.) Yearly Budget'!I63/$AM$18,0)</f>
        <v>0</v>
      </c>
      <c r="AE63" s="346">
        <f t="shared" si="28"/>
        <v>0</v>
      </c>
      <c r="AF63" s="240"/>
    </row>
    <row r="64" spans="1:32" s="53" customFormat="1">
      <c r="A64" s="221">
        <f t="shared" si="0"/>
        <v>64</v>
      </c>
      <c r="B64" s="77"/>
      <c r="C64" s="41" t="s">
        <v>48</v>
      </c>
      <c r="D64" s="78"/>
      <c r="G64" s="48"/>
      <c r="H64" s="76"/>
      <c r="I64" s="243">
        <f t="shared" ref="I64:AE64" si="29">SUM(I56:I63)</f>
        <v>0</v>
      </c>
      <c r="J64" s="133">
        <f t="shared" si="29"/>
        <v>0</v>
      </c>
      <c r="K64" s="351">
        <f t="shared" si="29"/>
        <v>0</v>
      </c>
      <c r="L64" s="83">
        <f t="shared" si="29"/>
        <v>0</v>
      </c>
      <c r="M64" s="133">
        <f t="shared" si="29"/>
        <v>0</v>
      </c>
      <c r="N64" s="351">
        <f t="shared" si="29"/>
        <v>0</v>
      </c>
      <c r="O64" s="83">
        <f t="shared" si="29"/>
        <v>0</v>
      </c>
      <c r="P64" s="133">
        <f t="shared" si="29"/>
        <v>0</v>
      </c>
      <c r="Q64" s="351">
        <f t="shared" si="29"/>
        <v>0</v>
      </c>
      <c r="R64" s="83">
        <f t="shared" si="29"/>
        <v>0</v>
      </c>
      <c r="S64" s="133">
        <f t="shared" si="29"/>
        <v>0</v>
      </c>
      <c r="T64" s="84">
        <f t="shared" si="29"/>
        <v>0</v>
      </c>
      <c r="U64" s="245">
        <f t="shared" si="29"/>
        <v>0</v>
      </c>
      <c r="V64" s="352">
        <f t="shared" si="29"/>
        <v>0</v>
      </c>
      <c r="W64" s="352">
        <f t="shared" si="29"/>
        <v>0</v>
      </c>
      <c r="X64" s="352">
        <f t="shared" si="29"/>
        <v>0</v>
      </c>
      <c r="Y64" s="354">
        <f t="shared" si="29"/>
        <v>0</v>
      </c>
      <c r="Z64" s="85">
        <f t="shared" si="29"/>
        <v>0</v>
      </c>
      <c r="AA64" s="352">
        <f t="shared" si="29"/>
        <v>0</v>
      </c>
      <c r="AB64" s="355">
        <f t="shared" si="29"/>
        <v>0</v>
      </c>
      <c r="AC64" s="340">
        <f t="shared" si="29"/>
        <v>0</v>
      </c>
      <c r="AD64" s="85">
        <f t="shared" si="29"/>
        <v>0</v>
      </c>
      <c r="AE64" s="86">
        <f t="shared" si="29"/>
        <v>0</v>
      </c>
      <c r="AF64" s="240"/>
    </row>
    <row r="65" spans="1:32" s="53" customFormat="1">
      <c r="A65" s="221">
        <f t="shared" si="0"/>
        <v>65</v>
      </c>
      <c r="B65" s="77"/>
      <c r="C65" s="41"/>
      <c r="D65" s="78"/>
      <c r="G65" s="48"/>
      <c r="H65" s="76"/>
      <c r="I65" s="85"/>
      <c r="J65" s="85"/>
      <c r="K65" s="85"/>
      <c r="L65" s="85"/>
      <c r="M65" s="85"/>
      <c r="N65" s="85"/>
      <c r="O65" s="85"/>
      <c r="P65" s="85"/>
      <c r="Q65" s="85"/>
      <c r="R65" s="85"/>
      <c r="S65" s="85"/>
      <c r="T65" s="86"/>
      <c r="U65" s="85"/>
      <c r="V65" s="85"/>
      <c r="W65" s="85"/>
      <c r="X65" s="85"/>
      <c r="Y65" s="85"/>
      <c r="Z65" s="85"/>
      <c r="AA65" s="85"/>
      <c r="AB65" s="85"/>
      <c r="AC65" s="85"/>
      <c r="AD65" s="85"/>
      <c r="AE65" s="86"/>
      <c r="AF65" s="240"/>
    </row>
    <row r="66" spans="1:32" s="53" customFormat="1" ht="18" thickBot="1">
      <c r="A66" s="221">
        <f t="shared" si="0"/>
        <v>66</v>
      </c>
      <c r="B66" s="90" t="s">
        <v>49</v>
      </c>
      <c r="C66" s="91"/>
      <c r="D66" s="91"/>
      <c r="E66" s="92"/>
      <c r="F66" s="107"/>
      <c r="G66" s="93"/>
      <c r="H66" s="114"/>
      <c r="I66" s="248">
        <f t="shared" ref="I66:AE66" si="30">I64+I53+I42</f>
        <v>0</v>
      </c>
      <c r="J66" s="95">
        <f t="shared" si="30"/>
        <v>0</v>
      </c>
      <c r="K66" s="356">
        <f t="shared" si="30"/>
        <v>0</v>
      </c>
      <c r="L66" s="94">
        <f t="shared" si="30"/>
        <v>0</v>
      </c>
      <c r="M66" s="95">
        <f t="shared" si="30"/>
        <v>0</v>
      </c>
      <c r="N66" s="356">
        <f t="shared" si="30"/>
        <v>0</v>
      </c>
      <c r="O66" s="94">
        <f t="shared" si="30"/>
        <v>0</v>
      </c>
      <c r="P66" s="95">
        <f t="shared" si="30"/>
        <v>0</v>
      </c>
      <c r="Q66" s="356">
        <f t="shared" si="30"/>
        <v>0</v>
      </c>
      <c r="R66" s="94">
        <f t="shared" si="30"/>
        <v>0</v>
      </c>
      <c r="S66" s="95">
        <f t="shared" si="30"/>
        <v>0</v>
      </c>
      <c r="T66" s="96">
        <f t="shared" si="30"/>
        <v>0</v>
      </c>
      <c r="U66" s="357">
        <f t="shared" si="30"/>
        <v>0</v>
      </c>
      <c r="V66" s="358">
        <f t="shared" si="30"/>
        <v>0</v>
      </c>
      <c r="W66" s="358">
        <f t="shared" si="30"/>
        <v>0</v>
      </c>
      <c r="X66" s="358">
        <f t="shared" si="30"/>
        <v>0</v>
      </c>
      <c r="Y66" s="359">
        <f t="shared" si="30"/>
        <v>0</v>
      </c>
      <c r="Z66" s="360">
        <f t="shared" si="30"/>
        <v>0</v>
      </c>
      <c r="AA66" s="358">
        <f t="shared" si="30"/>
        <v>0</v>
      </c>
      <c r="AB66" s="358">
        <f t="shared" si="30"/>
        <v>0</v>
      </c>
      <c r="AC66" s="361">
        <f t="shared" si="30"/>
        <v>0</v>
      </c>
      <c r="AD66" s="360">
        <f t="shared" si="30"/>
        <v>0</v>
      </c>
      <c r="AE66" s="362">
        <f t="shared" si="30"/>
        <v>0</v>
      </c>
      <c r="AF66" s="250"/>
    </row>
    <row r="67" spans="1:32" s="53" customFormat="1" ht="7.5" customHeight="1" thickTop="1">
      <c r="A67" s="221">
        <f t="shared" si="0"/>
        <v>67</v>
      </c>
      <c r="B67" s="75"/>
      <c r="C67" s="75"/>
      <c r="D67" s="75"/>
      <c r="G67" s="48"/>
      <c r="H67" s="76"/>
      <c r="I67" s="76"/>
      <c r="J67" s="76"/>
      <c r="K67" s="76"/>
      <c r="L67" s="76"/>
      <c r="M67" s="76"/>
      <c r="N67" s="76"/>
      <c r="O67" s="76"/>
      <c r="P67" s="76"/>
      <c r="Q67" s="76"/>
      <c r="R67" s="76"/>
      <c r="S67" s="76"/>
      <c r="T67" s="76"/>
      <c r="U67" s="694"/>
      <c r="V67" s="252"/>
      <c r="W67" s="252"/>
      <c r="X67" s="252"/>
      <c r="Y67" s="252"/>
      <c r="Z67" s="252"/>
      <c r="AA67" s="252"/>
      <c r="AB67" s="252"/>
      <c r="AC67" s="252"/>
      <c r="AD67" s="252"/>
      <c r="AE67" s="252"/>
      <c r="AF67" s="363"/>
    </row>
    <row r="68" spans="1:32" s="53" customFormat="1" ht="7.5" hidden="1" customHeight="1">
      <c r="A68" s="221">
        <f t="shared" ref="A68:A131" si="31">A67+1</f>
        <v>68</v>
      </c>
      <c r="B68" s="74"/>
      <c r="C68" s="75"/>
      <c r="D68" s="75"/>
      <c r="G68" s="48"/>
      <c r="H68" s="76"/>
      <c r="I68" s="76"/>
      <c r="J68" s="76"/>
      <c r="K68" s="76"/>
      <c r="L68" s="76"/>
      <c r="M68" s="76"/>
      <c r="N68" s="76"/>
      <c r="O68" s="76"/>
      <c r="P68" s="76"/>
      <c r="Q68" s="76"/>
      <c r="R68" s="76"/>
      <c r="S68" s="76"/>
      <c r="T68" s="76"/>
      <c r="U68" s="695"/>
      <c r="V68" s="76"/>
      <c r="W68" s="76"/>
      <c r="X68" s="76"/>
      <c r="Y68" s="76"/>
      <c r="Z68" s="76"/>
      <c r="AA68" s="76"/>
      <c r="AB68" s="76"/>
      <c r="AC68" s="76"/>
      <c r="AD68" s="76"/>
      <c r="AE68" s="99"/>
      <c r="AF68" s="253"/>
    </row>
    <row r="69" spans="1:32" s="53" customFormat="1">
      <c r="A69" s="221">
        <f t="shared" si="31"/>
        <v>69</v>
      </c>
      <c r="B69" s="74" t="s">
        <v>50</v>
      </c>
      <c r="C69" s="75"/>
      <c r="D69" s="75"/>
      <c r="G69" s="48" t="str">
        <f>"Quarter "&amp;COUNTIF('3.) Staffing Plan'!$O$44:$R$44,"&gt;0")</f>
        <v>Quarter 0</v>
      </c>
      <c r="H69" s="76"/>
      <c r="I69" s="76"/>
      <c r="J69" s="76"/>
      <c r="K69" s="76"/>
      <c r="L69" s="76"/>
      <c r="M69" s="76"/>
      <c r="N69" s="76"/>
      <c r="O69" s="76"/>
      <c r="P69" s="76"/>
      <c r="Q69" s="76"/>
      <c r="R69" s="76"/>
      <c r="S69" s="76"/>
      <c r="T69" s="76"/>
      <c r="U69" s="695"/>
      <c r="V69" s="76"/>
      <c r="W69" s="76"/>
      <c r="X69" s="76"/>
      <c r="Y69" s="76"/>
      <c r="Z69" s="76"/>
      <c r="AA69" s="76"/>
      <c r="AB69" s="76"/>
      <c r="AC69" s="76"/>
      <c r="AD69" s="76"/>
      <c r="AE69" s="99"/>
      <c r="AF69" s="253"/>
    </row>
    <row r="70" spans="1:32" s="53" customFormat="1">
      <c r="A70" s="221">
        <f t="shared" si="31"/>
        <v>70</v>
      </c>
      <c r="B70" s="77"/>
      <c r="C70" s="100" t="s">
        <v>76</v>
      </c>
      <c r="D70" s="41"/>
      <c r="G70" s="48" t="s">
        <v>20</v>
      </c>
      <c r="H70" s="76"/>
      <c r="I70"/>
      <c r="J70"/>
      <c r="K70"/>
      <c r="L70"/>
      <c r="M70"/>
      <c r="N70"/>
      <c r="O70"/>
      <c r="P70"/>
      <c r="Q70"/>
      <c r="R70"/>
      <c r="S70" s="79"/>
      <c r="T70" s="79"/>
      <c r="U70" s="696"/>
      <c r="V70" s="76"/>
      <c r="W70" s="76"/>
      <c r="X70" s="76"/>
      <c r="Y70" s="76"/>
      <c r="Z70" s="76"/>
      <c r="AA70" s="76"/>
      <c r="AB70" s="76"/>
      <c r="AC70" s="76"/>
      <c r="AD70" s="76"/>
      <c r="AE70" s="99"/>
      <c r="AF70" s="253"/>
    </row>
    <row r="71" spans="1:32" s="53" customFormat="1">
      <c r="A71" s="221">
        <f t="shared" si="31"/>
        <v>71</v>
      </c>
      <c r="B71" s="77"/>
      <c r="D71" s="45" t="s">
        <v>110</v>
      </c>
      <c r="E71" s="33"/>
      <c r="F71" s="33"/>
      <c r="G71" s="541">
        <f>IFERROR(INDEX('3.) Staffing Plan'!O13:R13,COUNTIF('3.) Staffing Plan'!$O$44:$R$44,"&gt;0")),0)</f>
        <v>0</v>
      </c>
      <c r="H71" s="76"/>
      <c r="I71" s="238"/>
      <c r="J71" s="83">
        <f>IF('4.) Yearly Budget'!$K$18&gt;0,'4.) Yearly Budget'!K71,'4.) Yearly Budget'!J71)</f>
        <v>0</v>
      </c>
      <c r="K71" s="340">
        <f t="shared" ref="K71:K76" si="32">IF(I$18&lt;&gt;0,J71-I71,0)</f>
        <v>0</v>
      </c>
      <c r="L71" s="238"/>
      <c r="M71" s="83">
        <f>IF('4.) Yearly Budget'!$N$18&gt;0,'4.) Yearly Budget'!N71,'4.) Yearly Budget'!M71)</f>
        <v>0</v>
      </c>
      <c r="N71" s="340">
        <f t="shared" ref="N71:N76" si="33">IF(L$18&lt;&gt;0,M71-L71,0)</f>
        <v>0</v>
      </c>
      <c r="O71" s="238"/>
      <c r="P71" s="83">
        <f>IF('4.) Yearly Budget'!$Q$18&gt;0,'4.) Yearly Budget'!Q71,'4.) Yearly Budget'!P71)</f>
        <v>0</v>
      </c>
      <c r="Q71" s="340">
        <f t="shared" ref="Q71:Q76" si="34">IF(O$18&lt;&gt;0,P71-O71,0)</f>
        <v>0</v>
      </c>
      <c r="R71" s="238"/>
      <c r="S71" s="83">
        <f>IF('4.) Yearly Budget'!$T$18&gt;0,'4.) Yearly Budget'!T71,'4.) Yearly Budget'!S71)</f>
        <v>0</v>
      </c>
      <c r="T71" s="86">
        <f t="shared" ref="T71:T76" si="35">IF(R$18&lt;&gt;0,S71-R71,0)</f>
        <v>0</v>
      </c>
      <c r="U71" s="239">
        <f t="shared" ref="U71:U76" si="36">IF(I$6&lt;&gt;0,I71,0)+IF(L$6&lt;&gt;0,L71,0)+IF(O$6&lt;&gt;0,O71,0)+IF(R$6&lt;&gt;0,R71,0)</f>
        <v>0</v>
      </c>
      <c r="V71" s="337">
        <f t="shared" ref="V71:V76" si="37">SUM(IF(I$6&lt;&gt;0,J71,0)+IF(L$6&lt;&gt;0,M71,0)+IF(O$6&lt;&gt;0,P71,0)+IF(R$6&lt;&gt;0,S71,0))</f>
        <v>0</v>
      </c>
      <c r="W71" s="337">
        <f t="shared" ref="W71:W76" si="38">V71-U71</f>
        <v>0</v>
      </c>
      <c r="X71" s="337">
        <f>'4.) Yearly Budget'!W71</f>
        <v>0</v>
      </c>
      <c r="Y71" s="338">
        <f t="shared" ref="Y71:Y76" si="39">IF(U71&lt;&gt;0,X71-U71,IF(U71=0,X71,0))</f>
        <v>0</v>
      </c>
      <c r="Z71" s="339">
        <f>SUM(IF(I$18&lt;&gt;0,'4.) Yearly Budget'!J71,0)+IF(L$18&lt;&gt;0,'4.) Yearly Budget'!M71,0)+IF(O$18&lt;&gt;0,'4.) Yearly Budget'!P71,0)+IF(R$18&lt;&gt;0,'4.) Yearly Budget'!S71,0))</f>
        <v>0</v>
      </c>
      <c r="AA71" s="339">
        <f t="shared" ref="AA71:AA76" si="40">Z71-U71</f>
        <v>0</v>
      </c>
      <c r="AB71" s="339">
        <f>'4.) Yearly Budget'!V71</f>
        <v>0</v>
      </c>
      <c r="AC71" s="340">
        <f t="shared" ref="AC71:AC76" si="41">IF(U71&lt;&gt;0,AB71-U71,IF(U71=0,AB71,0))</f>
        <v>0</v>
      </c>
      <c r="AD71" s="339">
        <f>IF(U$6&lt;&gt;0,'4.) Yearly Budget'!I71/$AM$18,0)</f>
        <v>0</v>
      </c>
      <c r="AE71" s="86">
        <f t="shared" ref="AE71:AE76" si="42">AD71-U71</f>
        <v>0</v>
      </c>
      <c r="AF71" s="253"/>
    </row>
    <row r="72" spans="1:32" s="53" customFormat="1">
      <c r="A72" s="221">
        <f t="shared" si="31"/>
        <v>72</v>
      </c>
      <c r="B72" s="77"/>
      <c r="D72" s="45" t="s">
        <v>111</v>
      </c>
      <c r="E72" s="33"/>
      <c r="F72" s="33"/>
      <c r="G72" s="541">
        <f>IFERROR(INDEX('3.) Staffing Plan'!O14:R14,COUNTIF('3.) Staffing Plan'!$O$44:$R$44,"&gt;0")),0)</f>
        <v>0</v>
      </c>
      <c r="H72" s="76"/>
      <c r="I72" s="238"/>
      <c r="J72" s="83">
        <f>IF('4.) Yearly Budget'!$K$18&gt;0,'4.) Yearly Budget'!K72,'4.) Yearly Budget'!J72)</f>
        <v>0</v>
      </c>
      <c r="K72" s="340">
        <f t="shared" si="32"/>
        <v>0</v>
      </c>
      <c r="L72" s="238"/>
      <c r="M72" s="83">
        <f>IF('4.) Yearly Budget'!$N$18&gt;0,'4.) Yearly Budget'!N72,'4.) Yearly Budget'!M72)</f>
        <v>0</v>
      </c>
      <c r="N72" s="340">
        <f t="shared" si="33"/>
        <v>0</v>
      </c>
      <c r="O72" s="238"/>
      <c r="P72" s="83">
        <f>IF('4.) Yearly Budget'!$Q$18&gt;0,'4.) Yearly Budget'!Q72,'4.) Yearly Budget'!P72)</f>
        <v>0</v>
      </c>
      <c r="Q72" s="340">
        <f t="shared" si="34"/>
        <v>0</v>
      </c>
      <c r="R72" s="238"/>
      <c r="S72" s="83">
        <f>IF('4.) Yearly Budget'!$T$18&gt;0,'4.) Yearly Budget'!T72,'4.) Yearly Budget'!S72)</f>
        <v>0</v>
      </c>
      <c r="T72" s="86">
        <f t="shared" si="35"/>
        <v>0</v>
      </c>
      <c r="U72" s="239">
        <f t="shared" si="36"/>
        <v>0</v>
      </c>
      <c r="V72" s="337">
        <f t="shared" si="37"/>
        <v>0</v>
      </c>
      <c r="W72" s="337">
        <f t="shared" si="38"/>
        <v>0</v>
      </c>
      <c r="X72" s="337">
        <f>'4.) Yearly Budget'!W72</f>
        <v>0</v>
      </c>
      <c r="Y72" s="338">
        <f t="shared" si="39"/>
        <v>0</v>
      </c>
      <c r="Z72" s="339">
        <f>SUM(IF(I$18&lt;&gt;0,'4.) Yearly Budget'!J72,0)+IF(L$18&lt;&gt;0,'4.) Yearly Budget'!M72,0)+IF(O$18&lt;&gt;0,'4.) Yearly Budget'!P72,0)+IF(R$18&lt;&gt;0,'4.) Yearly Budget'!S72,0))</f>
        <v>0</v>
      </c>
      <c r="AA72" s="339">
        <f t="shared" si="40"/>
        <v>0</v>
      </c>
      <c r="AB72" s="339">
        <f>'4.) Yearly Budget'!V72</f>
        <v>0</v>
      </c>
      <c r="AC72" s="340">
        <f t="shared" si="41"/>
        <v>0</v>
      </c>
      <c r="AD72" s="339">
        <f>IF(U$6&lt;&gt;0,'4.) Yearly Budget'!I72/$AM$18,0)</f>
        <v>0</v>
      </c>
      <c r="AE72" s="86">
        <f t="shared" si="42"/>
        <v>0</v>
      </c>
      <c r="AF72" s="253"/>
    </row>
    <row r="73" spans="1:32" s="53" customFormat="1">
      <c r="A73" s="221">
        <f t="shared" si="31"/>
        <v>73</v>
      </c>
      <c r="B73" s="77"/>
      <c r="D73" s="45" t="s">
        <v>112</v>
      </c>
      <c r="E73" s="33"/>
      <c r="F73" s="33"/>
      <c r="G73" s="541">
        <f>IFERROR(INDEX('3.) Staffing Plan'!O15:R15,COUNTIF('3.) Staffing Plan'!$O$44:$R$44,"&gt;0")),0)</f>
        <v>0</v>
      </c>
      <c r="H73" s="76"/>
      <c r="I73" s="238"/>
      <c r="J73" s="83">
        <f>IF('4.) Yearly Budget'!$K$18&gt;0,'4.) Yearly Budget'!K73,'4.) Yearly Budget'!J73)</f>
        <v>0</v>
      </c>
      <c r="K73" s="340">
        <f t="shared" si="32"/>
        <v>0</v>
      </c>
      <c r="L73" s="238"/>
      <c r="M73" s="83">
        <f>IF('4.) Yearly Budget'!$N$18&gt;0,'4.) Yearly Budget'!N73,'4.) Yearly Budget'!M73)</f>
        <v>0</v>
      </c>
      <c r="N73" s="340">
        <f t="shared" si="33"/>
        <v>0</v>
      </c>
      <c r="O73" s="238"/>
      <c r="P73" s="83">
        <f>IF('4.) Yearly Budget'!$Q$18&gt;0,'4.) Yearly Budget'!Q73,'4.) Yearly Budget'!P73)</f>
        <v>0</v>
      </c>
      <c r="Q73" s="340">
        <f t="shared" si="34"/>
        <v>0</v>
      </c>
      <c r="R73" s="238"/>
      <c r="S73" s="83">
        <f>IF('4.) Yearly Budget'!$T$18&gt;0,'4.) Yearly Budget'!T73,'4.) Yearly Budget'!S73)</f>
        <v>0</v>
      </c>
      <c r="T73" s="86">
        <f t="shared" si="35"/>
        <v>0</v>
      </c>
      <c r="U73" s="239">
        <f t="shared" si="36"/>
        <v>0</v>
      </c>
      <c r="V73" s="337">
        <f t="shared" si="37"/>
        <v>0</v>
      </c>
      <c r="W73" s="337">
        <f t="shared" si="38"/>
        <v>0</v>
      </c>
      <c r="X73" s="337">
        <f>'4.) Yearly Budget'!W73</f>
        <v>0</v>
      </c>
      <c r="Y73" s="338">
        <f t="shared" si="39"/>
        <v>0</v>
      </c>
      <c r="Z73" s="339">
        <f>SUM(IF(I$18&lt;&gt;0,'4.) Yearly Budget'!J73,0)+IF(L$18&lt;&gt;0,'4.) Yearly Budget'!M73,0)+IF(O$18&lt;&gt;0,'4.) Yearly Budget'!P73,0)+IF(R$18&lt;&gt;0,'4.) Yearly Budget'!S73,0))</f>
        <v>0</v>
      </c>
      <c r="AA73" s="339">
        <f t="shared" si="40"/>
        <v>0</v>
      </c>
      <c r="AB73" s="339">
        <f>'4.) Yearly Budget'!V73</f>
        <v>0</v>
      </c>
      <c r="AC73" s="340">
        <f t="shared" si="41"/>
        <v>0</v>
      </c>
      <c r="AD73" s="339">
        <f>IF(U$6&lt;&gt;0,'4.) Yearly Budget'!I73/$AM$18,0)</f>
        <v>0</v>
      </c>
      <c r="AE73" s="86">
        <f t="shared" si="42"/>
        <v>0</v>
      </c>
      <c r="AF73" s="253"/>
    </row>
    <row r="74" spans="1:32" s="53" customFormat="1">
      <c r="A74" s="221">
        <f t="shared" si="31"/>
        <v>74</v>
      </c>
      <c r="B74" s="77"/>
      <c r="D74" s="45" t="s">
        <v>98</v>
      </c>
      <c r="E74" s="33"/>
      <c r="F74" s="33"/>
      <c r="G74" s="541">
        <f>IFERROR(INDEX('3.) Staffing Plan'!O16:R16,COUNTIF('3.) Staffing Plan'!$O$44:$R$44,"&gt;0")),0)</f>
        <v>0</v>
      </c>
      <c r="H74" s="76"/>
      <c r="I74" s="238"/>
      <c r="J74" s="83">
        <f>IF('4.) Yearly Budget'!$K$18&gt;0,'4.) Yearly Budget'!K74,'4.) Yearly Budget'!J74)</f>
        <v>0</v>
      </c>
      <c r="K74" s="340">
        <f t="shared" si="32"/>
        <v>0</v>
      </c>
      <c r="L74" s="238"/>
      <c r="M74" s="83">
        <f>IF('4.) Yearly Budget'!$N$18&gt;0,'4.) Yearly Budget'!N74,'4.) Yearly Budget'!M74)</f>
        <v>0</v>
      </c>
      <c r="N74" s="340">
        <f t="shared" si="33"/>
        <v>0</v>
      </c>
      <c r="O74" s="238"/>
      <c r="P74" s="83">
        <f>IF('4.) Yearly Budget'!$Q$18&gt;0,'4.) Yearly Budget'!Q74,'4.) Yearly Budget'!P74)</f>
        <v>0</v>
      </c>
      <c r="Q74" s="340">
        <f t="shared" si="34"/>
        <v>0</v>
      </c>
      <c r="R74" s="238"/>
      <c r="S74" s="83">
        <f>IF('4.) Yearly Budget'!$T$18&gt;0,'4.) Yearly Budget'!T74,'4.) Yearly Budget'!S74)</f>
        <v>0</v>
      </c>
      <c r="T74" s="86">
        <f t="shared" si="35"/>
        <v>0</v>
      </c>
      <c r="U74" s="239">
        <f t="shared" si="36"/>
        <v>0</v>
      </c>
      <c r="V74" s="337">
        <f t="shared" si="37"/>
        <v>0</v>
      </c>
      <c r="W74" s="337">
        <f t="shared" si="38"/>
        <v>0</v>
      </c>
      <c r="X74" s="337">
        <f>'4.) Yearly Budget'!W74</f>
        <v>0</v>
      </c>
      <c r="Y74" s="338">
        <f t="shared" si="39"/>
        <v>0</v>
      </c>
      <c r="Z74" s="339">
        <f>SUM(IF(I$18&lt;&gt;0,'4.) Yearly Budget'!J74,0)+IF(L$18&lt;&gt;0,'4.) Yearly Budget'!M74,0)+IF(O$18&lt;&gt;0,'4.) Yearly Budget'!P74,0)+IF(R$18&lt;&gt;0,'4.) Yearly Budget'!S74,0))</f>
        <v>0</v>
      </c>
      <c r="AA74" s="339">
        <f t="shared" si="40"/>
        <v>0</v>
      </c>
      <c r="AB74" s="339">
        <f>'4.) Yearly Budget'!V74</f>
        <v>0</v>
      </c>
      <c r="AC74" s="340">
        <f t="shared" si="41"/>
        <v>0</v>
      </c>
      <c r="AD74" s="339">
        <f>IF(U$6&lt;&gt;0,'4.) Yearly Budget'!I74/$AM$18,0)</f>
        <v>0</v>
      </c>
      <c r="AE74" s="86">
        <f t="shared" si="42"/>
        <v>0</v>
      </c>
      <c r="AF74" s="253"/>
    </row>
    <row r="75" spans="1:32" s="53" customFormat="1">
      <c r="A75" s="221">
        <f t="shared" si="31"/>
        <v>75</v>
      </c>
      <c r="B75" s="77"/>
      <c r="D75" s="45" t="s">
        <v>99</v>
      </c>
      <c r="E75" s="33"/>
      <c r="F75" s="33"/>
      <c r="G75" s="541">
        <f>IFERROR(INDEX('3.) Staffing Plan'!O17:R17,COUNTIF('3.) Staffing Plan'!$O$44:$R$44,"&gt;0")),0)</f>
        <v>0</v>
      </c>
      <c r="H75" s="76"/>
      <c r="I75" s="238"/>
      <c r="J75" s="83">
        <f>IF('4.) Yearly Budget'!$K$18&gt;0,'4.) Yearly Budget'!K75,'4.) Yearly Budget'!J75)</f>
        <v>0</v>
      </c>
      <c r="K75" s="340">
        <f t="shared" si="32"/>
        <v>0</v>
      </c>
      <c r="L75" s="238"/>
      <c r="M75" s="83">
        <f>IF('4.) Yearly Budget'!$N$18&gt;0,'4.) Yearly Budget'!N75,'4.) Yearly Budget'!M75)</f>
        <v>0</v>
      </c>
      <c r="N75" s="340">
        <f t="shared" si="33"/>
        <v>0</v>
      </c>
      <c r="O75" s="238"/>
      <c r="P75" s="83">
        <f>IF('4.) Yearly Budget'!$Q$18&gt;0,'4.) Yearly Budget'!Q75,'4.) Yearly Budget'!P75)</f>
        <v>0</v>
      </c>
      <c r="Q75" s="340">
        <f t="shared" si="34"/>
        <v>0</v>
      </c>
      <c r="R75" s="238"/>
      <c r="S75" s="83">
        <f>IF('4.) Yearly Budget'!$T$18&gt;0,'4.) Yearly Budget'!T75,'4.) Yearly Budget'!S75)</f>
        <v>0</v>
      </c>
      <c r="T75" s="86">
        <f t="shared" si="35"/>
        <v>0</v>
      </c>
      <c r="U75" s="239">
        <f t="shared" si="36"/>
        <v>0</v>
      </c>
      <c r="V75" s="337">
        <f t="shared" si="37"/>
        <v>0</v>
      </c>
      <c r="W75" s="337">
        <f t="shared" si="38"/>
        <v>0</v>
      </c>
      <c r="X75" s="337">
        <f>'4.) Yearly Budget'!W75</f>
        <v>0</v>
      </c>
      <c r="Y75" s="338">
        <f t="shared" si="39"/>
        <v>0</v>
      </c>
      <c r="Z75" s="339">
        <f>SUM(IF(I$18&lt;&gt;0,'4.) Yearly Budget'!J75,0)+IF(L$18&lt;&gt;0,'4.) Yearly Budget'!M75,0)+IF(O$18&lt;&gt;0,'4.) Yearly Budget'!P75,0)+IF(R$18&lt;&gt;0,'4.) Yearly Budget'!S75,0))</f>
        <v>0</v>
      </c>
      <c r="AA75" s="339">
        <f t="shared" si="40"/>
        <v>0</v>
      </c>
      <c r="AB75" s="339">
        <f>'4.) Yearly Budget'!V75</f>
        <v>0</v>
      </c>
      <c r="AC75" s="340">
        <f t="shared" si="41"/>
        <v>0</v>
      </c>
      <c r="AD75" s="339">
        <f>IF(U$6&lt;&gt;0,'4.) Yearly Budget'!I75/$AM$18,0)</f>
        <v>0</v>
      </c>
      <c r="AE75" s="86">
        <f t="shared" si="42"/>
        <v>0</v>
      </c>
      <c r="AF75" s="253"/>
    </row>
    <row r="76" spans="1:32" s="53" customFormat="1" ht="17.25">
      <c r="A76" s="221">
        <f t="shared" si="31"/>
        <v>76</v>
      </c>
      <c r="B76" s="77"/>
      <c r="D76" s="45" t="s">
        <v>113</v>
      </c>
      <c r="E76" s="33"/>
      <c r="F76" s="33"/>
      <c r="G76" s="544">
        <f>IFERROR(INDEX('3.) Staffing Plan'!O18:R18,COUNTIF('3.) Staffing Plan'!$O$44:$R$44,"&gt;0")),0)</f>
        <v>0</v>
      </c>
      <c r="H76" s="76"/>
      <c r="I76" s="246"/>
      <c r="J76" s="499">
        <f>IF('4.) Yearly Budget'!$K$18&gt;0,'4.) Yearly Budget'!K76,'4.) Yearly Budget'!J76)</f>
        <v>0</v>
      </c>
      <c r="K76" s="350">
        <f t="shared" si="32"/>
        <v>0</v>
      </c>
      <c r="L76" s="246"/>
      <c r="M76" s="499">
        <f>IF('4.) Yearly Budget'!$N$18&gt;0,'4.) Yearly Budget'!N76,'4.) Yearly Budget'!M76)</f>
        <v>0</v>
      </c>
      <c r="N76" s="350">
        <f t="shared" si="33"/>
        <v>0</v>
      </c>
      <c r="O76" s="246"/>
      <c r="P76" s="499">
        <f>IF('4.) Yearly Budget'!$Q$18&gt;0,'4.) Yearly Budget'!Q76,'4.) Yearly Budget'!P76)</f>
        <v>0</v>
      </c>
      <c r="Q76" s="350">
        <f t="shared" si="34"/>
        <v>0</v>
      </c>
      <c r="R76" s="246"/>
      <c r="S76" s="499">
        <f>IF('4.) Yearly Budget'!$T$18&gt;0,'4.) Yearly Budget'!T76,'4.) Yearly Budget'!S76)</f>
        <v>0</v>
      </c>
      <c r="T76" s="346">
        <f t="shared" si="35"/>
        <v>0</v>
      </c>
      <c r="U76" s="247">
        <f t="shared" si="36"/>
        <v>0</v>
      </c>
      <c r="V76" s="347">
        <f t="shared" si="37"/>
        <v>0</v>
      </c>
      <c r="W76" s="347">
        <f t="shared" si="38"/>
        <v>0</v>
      </c>
      <c r="X76" s="347">
        <f>'4.) Yearly Budget'!W76</f>
        <v>0</v>
      </c>
      <c r="Y76" s="348">
        <f t="shared" si="39"/>
        <v>0</v>
      </c>
      <c r="Z76" s="349">
        <f>SUM(IF(I$18&lt;&gt;0,'4.) Yearly Budget'!J76,0)+IF(L$18&lt;&gt;0,'4.) Yearly Budget'!M76,0)+IF(O$18&lt;&gt;0,'4.) Yearly Budget'!P76,0)+IF(R$18&lt;&gt;0,'4.) Yearly Budget'!S76,0))</f>
        <v>0</v>
      </c>
      <c r="AA76" s="349">
        <f t="shared" si="40"/>
        <v>0</v>
      </c>
      <c r="AB76" s="349">
        <f>'4.) Yearly Budget'!V76</f>
        <v>0</v>
      </c>
      <c r="AC76" s="350">
        <f t="shared" si="41"/>
        <v>0</v>
      </c>
      <c r="AD76" s="349">
        <f>IF(U$6&lt;&gt;0,'4.) Yearly Budget'!I76/$AM$18,0)</f>
        <v>0</v>
      </c>
      <c r="AE76" s="346">
        <f t="shared" si="42"/>
        <v>0</v>
      </c>
      <c r="AF76" s="253"/>
    </row>
    <row r="77" spans="1:32" s="53" customFormat="1">
      <c r="A77" s="221">
        <f t="shared" si="31"/>
        <v>77</v>
      </c>
      <c r="B77" s="77"/>
      <c r="C77" s="46" t="s">
        <v>75</v>
      </c>
      <c r="E77" s="33"/>
      <c r="F77" s="33"/>
      <c r="G77" s="541">
        <f>SUM(G71:G76)</f>
        <v>0</v>
      </c>
      <c r="H77" s="76"/>
      <c r="I77" s="573">
        <f t="shared" ref="I77:AE77" si="43">SUM(I71:I76)</f>
        <v>0</v>
      </c>
      <c r="J77" s="43">
        <f t="shared" si="43"/>
        <v>0</v>
      </c>
      <c r="K77" s="364">
        <f t="shared" si="43"/>
        <v>0</v>
      </c>
      <c r="L77" s="43">
        <f>SUM(L71:L76)</f>
        <v>0</v>
      </c>
      <c r="M77" s="43">
        <f t="shared" si="43"/>
        <v>0</v>
      </c>
      <c r="N77" s="364">
        <f t="shared" si="43"/>
        <v>0</v>
      </c>
      <c r="O77" s="43">
        <f>SUM(O71:O76)</f>
        <v>0</v>
      </c>
      <c r="P77" s="43">
        <f t="shared" si="43"/>
        <v>0</v>
      </c>
      <c r="Q77" s="364">
        <f t="shared" si="43"/>
        <v>0</v>
      </c>
      <c r="R77" s="43">
        <f>SUM(R71:R76)</f>
        <v>0</v>
      </c>
      <c r="S77" s="43">
        <f t="shared" si="43"/>
        <v>0</v>
      </c>
      <c r="T77" s="102">
        <f t="shared" si="43"/>
        <v>0</v>
      </c>
      <c r="U77" s="256">
        <f t="shared" si="43"/>
        <v>0</v>
      </c>
      <c r="V77" s="43">
        <f t="shared" si="43"/>
        <v>0</v>
      </c>
      <c r="W77" s="43">
        <f t="shared" si="43"/>
        <v>0</v>
      </c>
      <c r="X77" s="43">
        <f t="shared" si="43"/>
        <v>0</v>
      </c>
      <c r="Y77" s="365">
        <f t="shared" si="43"/>
        <v>0</v>
      </c>
      <c r="Z77" s="101">
        <f t="shared" si="43"/>
        <v>0</v>
      </c>
      <c r="AA77" s="101">
        <f t="shared" si="43"/>
        <v>0</v>
      </c>
      <c r="AB77" s="101">
        <f t="shared" si="43"/>
        <v>0</v>
      </c>
      <c r="AC77" s="364">
        <f t="shared" si="43"/>
        <v>0</v>
      </c>
      <c r="AD77" s="101">
        <f t="shared" si="43"/>
        <v>0</v>
      </c>
      <c r="AE77" s="366">
        <f t="shared" si="43"/>
        <v>0</v>
      </c>
      <c r="AF77" s="253"/>
    </row>
    <row r="78" spans="1:32" s="53" customFormat="1" ht="7.5" customHeight="1">
      <c r="A78" s="221">
        <f t="shared" si="31"/>
        <v>78</v>
      </c>
      <c r="B78" s="77"/>
      <c r="D78" s="33"/>
      <c r="E78" s="33"/>
      <c r="F78" s="33"/>
      <c r="G78" s="545"/>
      <c r="H78" s="76"/>
      <c r="I78" s="76"/>
      <c r="J78" s="76"/>
      <c r="K78" s="76"/>
      <c r="L78" s="76"/>
      <c r="M78" s="76"/>
      <c r="N78" s="76"/>
      <c r="O78" s="76"/>
      <c r="P78" s="76"/>
      <c r="Q78" s="76"/>
      <c r="R78" s="76"/>
      <c r="S78" s="76"/>
      <c r="T78" s="99"/>
      <c r="U78" s="76"/>
      <c r="V78" s="76"/>
      <c r="W78" s="76"/>
      <c r="X78" s="76"/>
      <c r="Y78" s="76"/>
      <c r="Z78" s="76"/>
      <c r="AA78" s="76"/>
      <c r="AB78" s="76"/>
      <c r="AC78" s="76"/>
      <c r="AD78" s="76"/>
      <c r="AE78" s="99"/>
      <c r="AF78" s="253"/>
    </row>
    <row r="79" spans="1:32" s="53" customFormat="1">
      <c r="A79" s="221">
        <f t="shared" si="31"/>
        <v>79</v>
      </c>
      <c r="B79" s="77"/>
      <c r="C79" s="100" t="s">
        <v>77</v>
      </c>
      <c r="D79" s="41"/>
      <c r="G79" s="546"/>
      <c r="H79" s="76"/>
      <c r="I79" s="79"/>
      <c r="J79" s="79"/>
      <c r="K79" s="79"/>
      <c r="L79" s="79"/>
      <c r="M79" s="79"/>
      <c r="N79" s="79"/>
      <c r="O79" s="79"/>
      <c r="P79" s="79"/>
      <c r="Q79" s="79"/>
      <c r="R79" s="79"/>
      <c r="S79" s="79"/>
      <c r="T79" s="80"/>
      <c r="U79" s="76"/>
      <c r="V79" s="76"/>
      <c r="W79" s="76"/>
      <c r="X79" s="76"/>
      <c r="Y79" s="76"/>
      <c r="Z79" s="76"/>
      <c r="AA79" s="76"/>
      <c r="AB79" s="76"/>
      <c r="AC79" s="76"/>
      <c r="AD79" s="76"/>
      <c r="AE79" s="99"/>
      <c r="AF79" s="253"/>
    </row>
    <row r="80" spans="1:32" s="53" customFormat="1">
      <c r="A80" s="221">
        <f t="shared" si="31"/>
        <v>80</v>
      </c>
      <c r="B80" s="77"/>
      <c r="D80" s="45" t="s">
        <v>51</v>
      </c>
      <c r="E80" s="33"/>
      <c r="F80" s="33"/>
      <c r="G80" s="541">
        <f>IFERROR(INDEX('3.) Staffing Plan'!O24:R24,COUNTIF('3.) Staffing Plan'!$O$44:$R$44,"&gt;0")),0)</f>
        <v>0</v>
      </c>
      <c r="H80" s="259"/>
      <c r="I80" s="238"/>
      <c r="J80" s="83">
        <f>IF('4.) Yearly Budget'!$K$18&gt;0,'4.) Yearly Budget'!K80,'4.) Yearly Budget'!J80)</f>
        <v>0</v>
      </c>
      <c r="K80" s="340">
        <f t="shared" ref="K80:K87" si="44">IF(I$18&lt;&gt;0,J80-I80,0)</f>
        <v>0</v>
      </c>
      <c r="L80" s="238"/>
      <c r="M80" s="83">
        <f>IF('4.) Yearly Budget'!$N$18&gt;0,'4.) Yearly Budget'!N80,'4.) Yearly Budget'!M80)</f>
        <v>0</v>
      </c>
      <c r="N80" s="340">
        <f t="shared" ref="N80:N87" si="45">IF(L$18&lt;&gt;0,M80-L80,0)</f>
        <v>0</v>
      </c>
      <c r="O80" s="238"/>
      <c r="P80" s="83">
        <f>IF('4.) Yearly Budget'!$Q$18&gt;0,'4.) Yearly Budget'!Q80,'4.) Yearly Budget'!P80)</f>
        <v>0</v>
      </c>
      <c r="Q80" s="340">
        <f t="shared" ref="Q80:Q87" si="46">IF(O$18&lt;&gt;0,P80-O80,0)</f>
        <v>0</v>
      </c>
      <c r="R80" s="238"/>
      <c r="S80" s="83">
        <f>IF('4.) Yearly Budget'!$T$18&gt;0,'4.) Yearly Budget'!T80,'4.) Yearly Budget'!S80)</f>
        <v>0</v>
      </c>
      <c r="T80" s="86">
        <f t="shared" ref="T80:T87" si="47">IF(R$18&lt;&gt;0,S80-R80,0)</f>
        <v>0</v>
      </c>
      <c r="U80" s="239">
        <f t="shared" ref="U80:U87" si="48">IF(I$6&lt;&gt;0,I80,0)+IF(L$6&lt;&gt;0,L80,0)+IF(O$6&lt;&gt;0,O80,0)+IF(R$6&lt;&gt;0,R80,0)</f>
        <v>0</v>
      </c>
      <c r="V80" s="337">
        <f t="shared" ref="V80:V87" si="49">SUM(IF(I$6&lt;&gt;0,J80,0)+IF(L$6&lt;&gt;0,M80,0)+IF(O$6&lt;&gt;0,P80,0)+IF(R$6&lt;&gt;0,S80,0))</f>
        <v>0</v>
      </c>
      <c r="W80" s="337">
        <f t="shared" ref="W80:W87" si="50">V80-U80</f>
        <v>0</v>
      </c>
      <c r="X80" s="337">
        <f>'4.) Yearly Budget'!W80</f>
        <v>0</v>
      </c>
      <c r="Y80" s="338">
        <f t="shared" ref="Y80:Y87" si="51">IF(U80&lt;&gt;0,X80-U80,IF(U80=0,X80,0))</f>
        <v>0</v>
      </c>
      <c r="Z80" s="339">
        <f>SUM(IF(I$18&lt;&gt;0,'4.) Yearly Budget'!J80,0)+IF(L$18&lt;&gt;0,'4.) Yearly Budget'!M80,0)+IF(O$18&lt;&gt;0,'4.) Yearly Budget'!P80,0)+IF(R$18&lt;&gt;0,'4.) Yearly Budget'!S80,0))</f>
        <v>0</v>
      </c>
      <c r="AA80" s="339">
        <f t="shared" ref="AA80:AA87" si="52">Z80-U80</f>
        <v>0</v>
      </c>
      <c r="AB80" s="339">
        <f>'4.) Yearly Budget'!V80</f>
        <v>0</v>
      </c>
      <c r="AC80" s="340">
        <f t="shared" ref="AC80:AC87" si="53">IF(U80&lt;&gt;0,AB80-U80,IF(U80=0,AB80,0))</f>
        <v>0</v>
      </c>
      <c r="AD80" s="339">
        <f>IF(U$6&lt;&gt;0,'4.) Yearly Budget'!I80/$AM$18,0)</f>
        <v>0</v>
      </c>
      <c r="AE80" s="86">
        <f t="shared" ref="AE80:AE87" si="54">AD80-U80</f>
        <v>0</v>
      </c>
      <c r="AF80" s="253"/>
    </row>
    <row r="81" spans="1:32" s="53" customFormat="1">
      <c r="A81" s="221">
        <f t="shared" si="31"/>
        <v>81</v>
      </c>
      <c r="B81" s="77"/>
      <c r="D81" s="45" t="s">
        <v>52</v>
      </c>
      <c r="E81" s="33"/>
      <c r="F81" s="33"/>
      <c r="G81" s="541">
        <f>IFERROR(INDEX('3.) Staffing Plan'!O25:R25,COUNTIF('3.) Staffing Plan'!$O$44:$R$44,"&gt;0")),0)</f>
        <v>0</v>
      </c>
      <c r="H81" s="259"/>
      <c r="I81" s="238"/>
      <c r="J81" s="83">
        <f>IF('4.) Yearly Budget'!$K$18&gt;0,'4.) Yearly Budget'!K81,'4.) Yearly Budget'!J81)</f>
        <v>0</v>
      </c>
      <c r="K81" s="340">
        <f t="shared" si="44"/>
        <v>0</v>
      </c>
      <c r="L81" s="238"/>
      <c r="M81" s="83">
        <f>IF('4.) Yearly Budget'!$N$18&gt;0,'4.) Yearly Budget'!N81,'4.) Yearly Budget'!M81)</f>
        <v>0</v>
      </c>
      <c r="N81" s="340">
        <f t="shared" si="45"/>
        <v>0</v>
      </c>
      <c r="O81" s="238"/>
      <c r="P81" s="83">
        <f>IF('4.) Yearly Budget'!$Q$18&gt;0,'4.) Yearly Budget'!Q81,'4.) Yearly Budget'!P81)</f>
        <v>0</v>
      </c>
      <c r="Q81" s="340">
        <f t="shared" si="46"/>
        <v>0</v>
      </c>
      <c r="R81" s="238"/>
      <c r="S81" s="83">
        <f>IF('4.) Yearly Budget'!$T$18&gt;0,'4.) Yearly Budget'!T81,'4.) Yearly Budget'!S81)</f>
        <v>0</v>
      </c>
      <c r="T81" s="86">
        <f t="shared" si="47"/>
        <v>0</v>
      </c>
      <c r="U81" s="239">
        <f t="shared" si="48"/>
        <v>0</v>
      </c>
      <c r="V81" s="337">
        <f t="shared" si="49"/>
        <v>0</v>
      </c>
      <c r="W81" s="337">
        <f t="shared" si="50"/>
        <v>0</v>
      </c>
      <c r="X81" s="337">
        <f>'4.) Yearly Budget'!W81</f>
        <v>0</v>
      </c>
      <c r="Y81" s="338">
        <f t="shared" si="51"/>
        <v>0</v>
      </c>
      <c r="Z81" s="339">
        <f>SUM(IF(I$18&lt;&gt;0,'4.) Yearly Budget'!J81,0)+IF(L$18&lt;&gt;0,'4.) Yearly Budget'!M81,0)+IF(O$18&lt;&gt;0,'4.) Yearly Budget'!P81,0)+IF(R$18&lt;&gt;0,'4.) Yearly Budget'!S81,0))</f>
        <v>0</v>
      </c>
      <c r="AA81" s="339">
        <f t="shared" si="52"/>
        <v>0</v>
      </c>
      <c r="AB81" s="339">
        <f>'4.) Yearly Budget'!V81</f>
        <v>0</v>
      </c>
      <c r="AC81" s="340">
        <f t="shared" si="53"/>
        <v>0</v>
      </c>
      <c r="AD81" s="339">
        <f>IF(U$6&lt;&gt;0,'4.) Yearly Budget'!I81/$AM$18,0)</f>
        <v>0</v>
      </c>
      <c r="AE81" s="86">
        <f t="shared" si="54"/>
        <v>0</v>
      </c>
      <c r="AF81" s="253"/>
    </row>
    <row r="82" spans="1:32" s="53" customFormat="1">
      <c r="A82" s="221">
        <f t="shared" si="31"/>
        <v>82</v>
      </c>
      <c r="B82" s="77"/>
      <c r="D82" s="45" t="s">
        <v>10</v>
      </c>
      <c r="E82" s="33"/>
      <c r="F82" s="33"/>
      <c r="G82" s="541">
        <f>IFERROR(INDEX('3.) Staffing Plan'!O26:R26,COUNTIF('3.) Staffing Plan'!$O$44:$R$44,"&gt;0")),0)</f>
        <v>0</v>
      </c>
      <c r="H82" s="259"/>
      <c r="I82" s="238"/>
      <c r="J82" s="83">
        <f>IF('4.) Yearly Budget'!$K$18&gt;0,'4.) Yearly Budget'!K82,'4.) Yearly Budget'!J82)</f>
        <v>0</v>
      </c>
      <c r="K82" s="340">
        <f t="shared" si="44"/>
        <v>0</v>
      </c>
      <c r="L82" s="238"/>
      <c r="M82" s="83">
        <f>IF('4.) Yearly Budget'!$N$18&gt;0,'4.) Yearly Budget'!N82,'4.) Yearly Budget'!M82)</f>
        <v>0</v>
      </c>
      <c r="N82" s="340">
        <f t="shared" si="45"/>
        <v>0</v>
      </c>
      <c r="O82" s="238"/>
      <c r="P82" s="83">
        <f>IF('4.) Yearly Budget'!$Q$18&gt;0,'4.) Yearly Budget'!Q82,'4.) Yearly Budget'!P82)</f>
        <v>0</v>
      </c>
      <c r="Q82" s="340">
        <f t="shared" si="46"/>
        <v>0</v>
      </c>
      <c r="R82" s="238"/>
      <c r="S82" s="83">
        <f>IF('4.) Yearly Budget'!$T$18&gt;0,'4.) Yearly Budget'!T82,'4.) Yearly Budget'!S82)</f>
        <v>0</v>
      </c>
      <c r="T82" s="86">
        <f t="shared" si="47"/>
        <v>0</v>
      </c>
      <c r="U82" s="239">
        <f t="shared" si="48"/>
        <v>0</v>
      </c>
      <c r="V82" s="337">
        <f t="shared" si="49"/>
        <v>0</v>
      </c>
      <c r="W82" s="337">
        <f t="shared" si="50"/>
        <v>0</v>
      </c>
      <c r="X82" s="337">
        <f>'4.) Yearly Budget'!W82</f>
        <v>0</v>
      </c>
      <c r="Y82" s="338">
        <f t="shared" si="51"/>
        <v>0</v>
      </c>
      <c r="Z82" s="339">
        <f>SUM(IF(I$18&lt;&gt;0,'4.) Yearly Budget'!J82,0)+IF(L$18&lt;&gt;0,'4.) Yearly Budget'!M82,0)+IF(O$18&lt;&gt;0,'4.) Yearly Budget'!P82,0)+IF(R$18&lt;&gt;0,'4.) Yearly Budget'!S82,0))</f>
        <v>0</v>
      </c>
      <c r="AA82" s="339">
        <f t="shared" si="52"/>
        <v>0</v>
      </c>
      <c r="AB82" s="339">
        <f>'4.) Yearly Budget'!V82</f>
        <v>0</v>
      </c>
      <c r="AC82" s="340">
        <f t="shared" si="53"/>
        <v>0</v>
      </c>
      <c r="AD82" s="339">
        <f>IF(U$6&lt;&gt;0,'4.) Yearly Budget'!I82/$AM$18,0)</f>
        <v>0</v>
      </c>
      <c r="AE82" s="86">
        <f t="shared" si="54"/>
        <v>0</v>
      </c>
      <c r="AF82" s="253"/>
    </row>
    <row r="83" spans="1:32" s="53" customFormat="1">
      <c r="A83" s="221">
        <f t="shared" si="31"/>
        <v>83</v>
      </c>
      <c r="B83" s="77"/>
      <c r="D83" s="45" t="s">
        <v>11</v>
      </c>
      <c r="E83" s="33"/>
      <c r="F83" s="33"/>
      <c r="G83" s="541">
        <f>IFERROR(INDEX('3.) Staffing Plan'!O27:R27,COUNTIF('3.) Staffing Plan'!$O$44:$R$44,"&gt;0")),0)</f>
        <v>0</v>
      </c>
      <c r="H83" s="259"/>
      <c r="I83" s="238"/>
      <c r="J83" s="83">
        <f>IF('4.) Yearly Budget'!$K$18&gt;0,'4.) Yearly Budget'!K83,'4.) Yearly Budget'!J83)</f>
        <v>0</v>
      </c>
      <c r="K83" s="340">
        <f t="shared" si="44"/>
        <v>0</v>
      </c>
      <c r="L83" s="238"/>
      <c r="M83" s="83">
        <f>IF('4.) Yearly Budget'!$N$18&gt;0,'4.) Yearly Budget'!N83,'4.) Yearly Budget'!M83)</f>
        <v>0</v>
      </c>
      <c r="N83" s="340">
        <f t="shared" si="45"/>
        <v>0</v>
      </c>
      <c r="O83" s="238"/>
      <c r="P83" s="83">
        <f>IF('4.) Yearly Budget'!$Q$18&gt;0,'4.) Yearly Budget'!Q83,'4.) Yearly Budget'!P83)</f>
        <v>0</v>
      </c>
      <c r="Q83" s="340">
        <f t="shared" si="46"/>
        <v>0</v>
      </c>
      <c r="R83" s="238"/>
      <c r="S83" s="83">
        <f>IF('4.) Yearly Budget'!$T$18&gt;0,'4.) Yearly Budget'!T83,'4.) Yearly Budget'!S83)</f>
        <v>0</v>
      </c>
      <c r="T83" s="86">
        <f t="shared" si="47"/>
        <v>0</v>
      </c>
      <c r="U83" s="239">
        <f t="shared" si="48"/>
        <v>0</v>
      </c>
      <c r="V83" s="337">
        <f t="shared" si="49"/>
        <v>0</v>
      </c>
      <c r="W83" s="337">
        <f t="shared" si="50"/>
        <v>0</v>
      </c>
      <c r="X83" s="337">
        <f>'4.) Yearly Budget'!W83</f>
        <v>0</v>
      </c>
      <c r="Y83" s="338">
        <f t="shared" si="51"/>
        <v>0</v>
      </c>
      <c r="Z83" s="339">
        <f>SUM(IF(I$18&lt;&gt;0,'4.) Yearly Budget'!J83,0)+IF(L$18&lt;&gt;0,'4.) Yearly Budget'!M83,0)+IF(O$18&lt;&gt;0,'4.) Yearly Budget'!P83,0)+IF(R$18&lt;&gt;0,'4.) Yearly Budget'!S83,0))</f>
        <v>0</v>
      </c>
      <c r="AA83" s="339">
        <f t="shared" si="52"/>
        <v>0</v>
      </c>
      <c r="AB83" s="339">
        <f>'4.) Yearly Budget'!V83</f>
        <v>0</v>
      </c>
      <c r="AC83" s="340">
        <f t="shared" si="53"/>
        <v>0</v>
      </c>
      <c r="AD83" s="339">
        <f>IF(U$6&lt;&gt;0,'4.) Yearly Budget'!I83/$AM$18,0)</f>
        <v>0</v>
      </c>
      <c r="AE83" s="86">
        <f t="shared" si="54"/>
        <v>0</v>
      </c>
      <c r="AF83" s="253"/>
    </row>
    <row r="84" spans="1:32" s="53" customFormat="1">
      <c r="A84" s="221">
        <f t="shared" si="31"/>
        <v>84</v>
      </c>
      <c r="B84" s="77"/>
      <c r="D84" s="45" t="s">
        <v>12</v>
      </c>
      <c r="E84" s="33"/>
      <c r="F84" s="33"/>
      <c r="G84" s="541">
        <f>IFERROR(INDEX('3.) Staffing Plan'!O28:R28,COUNTIF('3.) Staffing Plan'!$O$44:$R$44,"&gt;0")),0)</f>
        <v>0</v>
      </c>
      <c r="H84" s="259"/>
      <c r="I84" s="238"/>
      <c r="J84" s="83">
        <f>IF('4.) Yearly Budget'!$K$18&gt;0,'4.) Yearly Budget'!K84,'4.) Yearly Budget'!J84)</f>
        <v>0</v>
      </c>
      <c r="K84" s="340">
        <f t="shared" si="44"/>
        <v>0</v>
      </c>
      <c r="L84" s="238"/>
      <c r="M84" s="83">
        <f>IF('4.) Yearly Budget'!$N$18&gt;0,'4.) Yearly Budget'!N84,'4.) Yearly Budget'!M84)</f>
        <v>0</v>
      </c>
      <c r="N84" s="340">
        <f t="shared" si="45"/>
        <v>0</v>
      </c>
      <c r="O84" s="238"/>
      <c r="P84" s="83">
        <f>IF('4.) Yearly Budget'!$Q$18&gt;0,'4.) Yearly Budget'!Q84,'4.) Yearly Budget'!P84)</f>
        <v>0</v>
      </c>
      <c r="Q84" s="340">
        <f t="shared" si="46"/>
        <v>0</v>
      </c>
      <c r="R84" s="238"/>
      <c r="S84" s="83">
        <f>IF('4.) Yearly Budget'!$T$18&gt;0,'4.) Yearly Budget'!T84,'4.) Yearly Budget'!S84)</f>
        <v>0</v>
      </c>
      <c r="T84" s="86">
        <f t="shared" si="47"/>
        <v>0</v>
      </c>
      <c r="U84" s="239">
        <f t="shared" si="48"/>
        <v>0</v>
      </c>
      <c r="V84" s="337">
        <f t="shared" si="49"/>
        <v>0</v>
      </c>
      <c r="W84" s="337">
        <f t="shared" si="50"/>
        <v>0</v>
      </c>
      <c r="X84" s="337">
        <f>'4.) Yearly Budget'!W84</f>
        <v>0</v>
      </c>
      <c r="Y84" s="338">
        <f t="shared" si="51"/>
        <v>0</v>
      </c>
      <c r="Z84" s="339">
        <f>SUM(IF(I$18&lt;&gt;0,'4.) Yearly Budget'!J84,0)+IF(L$18&lt;&gt;0,'4.) Yearly Budget'!M84,0)+IF(O$18&lt;&gt;0,'4.) Yearly Budget'!P84,0)+IF(R$18&lt;&gt;0,'4.) Yearly Budget'!S84,0))</f>
        <v>0</v>
      </c>
      <c r="AA84" s="339">
        <f t="shared" si="52"/>
        <v>0</v>
      </c>
      <c r="AB84" s="339">
        <f>'4.) Yearly Budget'!V84</f>
        <v>0</v>
      </c>
      <c r="AC84" s="340">
        <f t="shared" si="53"/>
        <v>0</v>
      </c>
      <c r="AD84" s="339">
        <f>IF(U$6&lt;&gt;0,'4.) Yearly Budget'!I84/$AM$18,0)</f>
        <v>0</v>
      </c>
      <c r="AE84" s="86">
        <f t="shared" si="54"/>
        <v>0</v>
      </c>
      <c r="AF84" s="253"/>
    </row>
    <row r="85" spans="1:32" s="53" customFormat="1">
      <c r="A85" s="221">
        <f t="shared" si="31"/>
        <v>85</v>
      </c>
      <c r="B85" s="77"/>
      <c r="D85" s="45" t="s">
        <v>13</v>
      </c>
      <c r="E85" s="33"/>
      <c r="F85" s="33"/>
      <c r="G85" s="541">
        <f>IFERROR(INDEX('3.) Staffing Plan'!O29:R29,COUNTIF('3.) Staffing Plan'!$O$44:$R$44,"&gt;0")),0)</f>
        <v>0</v>
      </c>
      <c r="H85" s="259"/>
      <c r="I85" s="238"/>
      <c r="J85" s="83">
        <f>IF('4.) Yearly Budget'!$K$18&gt;0,'4.) Yearly Budget'!K85,'4.) Yearly Budget'!J85)</f>
        <v>0</v>
      </c>
      <c r="K85" s="340">
        <f t="shared" si="44"/>
        <v>0</v>
      </c>
      <c r="L85" s="238"/>
      <c r="M85" s="83">
        <f>IF('4.) Yearly Budget'!$N$18&gt;0,'4.) Yearly Budget'!N85,'4.) Yearly Budget'!M85)</f>
        <v>0</v>
      </c>
      <c r="N85" s="340">
        <f t="shared" si="45"/>
        <v>0</v>
      </c>
      <c r="O85" s="238"/>
      <c r="P85" s="83">
        <f>IF('4.) Yearly Budget'!$Q$18&gt;0,'4.) Yearly Budget'!Q85,'4.) Yearly Budget'!P85)</f>
        <v>0</v>
      </c>
      <c r="Q85" s="340">
        <f t="shared" si="46"/>
        <v>0</v>
      </c>
      <c r="R85" s="238"/>
      <c r="S85" s="83">
        <f>IF('4.) Yearly Budget'!$T$18&gt;0,'4.) Yearly Budget'!T85,'4.) Yearly Budget'!S85)</f>
        <v>0</v>
      </c>
      <c r="T85" s="86">
        <f t="shared" si="47"/>
        <v>0</v>
      </c>
      <c r="U85" s="239">
        <f t="shared" si="48"/>
        <v>0</v>
      </c>
      <c r="V85" s="337">
        <f t="shared" si="49"/>
        <v>0</v>
      </c>
      <c r="W85" s="337">
        <f t="shared" si="50"/>
        <v>0</v>
      </c>
      <c r="X85" s="337">
        <f>'4.) Yearly Budget'!W85</f>
        <v>0</v>
      </c>
      <c r="Y85" s="338">
        <f t="shared" si="51"/>
        <v>0</v>
      </c>
      <c r="Z85" s="339">
        <f>SUM(IF(I$18&lt;&gt;0,'4.) Yearly Budget'!J85,0)+IF(L$18&lt;&gt;0,'4.) Yearly Budget'!M85,0)+IF(O$18&lt;&gt;0,'4.) Yearly Budget'!P85,0)+IF(R$18&lt;&gt;0,'4.) Yearly Budget'!S85,0))</f>
        <v>0</v>
      </c>
      <c r="AA85" s="339">
        <f t="shared" si="52"/>
        <v>0</v>
      </c>
      <c r="AB85" s="339">
        <f>'4.) Yearly Budget'!V85</f>
        <v>0</v>
      </c>
      <c r="AC85" s="340">
        <f t="shared" si="53"/>
        <v>0</v>
      </c>
      <c r="AD85" s="339">
        <f>IF(U$6&lt;&gt;0,'4.) Yearly Budget'!I85/$AM$18,0)</f>
        <v>0</v>
      </c>
      <c r="AE85" s="86">
        <f t="shared" si="54"/>
        <v>0</v>
      </c>
      <c r="AF85" s="253"/>
    </row>
    <row r="86" spans="1:32" s="53" customFormat="1">
      <c r="A86" s="221">
        <f t="shared" si="31"/>
        <v>86</v>
      </c>
      <c r="B86" s="77"/>
      <c r="D86" s="45" t="s">
        <v>73</v>
      </c>
      <c r="E86" s="33"/>
      <c r="F86" s="33"/>
      <c r="G86" s="541">
        <f>IFERROR(INDEX('3.) Staffing Plan'!O30:R30,COUNTIF('3.) Staffing Plan'!$O$44:$R$44,"&gt;0")),0)</f>
        <v>0</v>
      </c>
      <c r="H86" s="259"/>
      <c r="I86" s="238"/>
      <c r="J86" s="83">
        <f>IF('4.) Yearly Budget'!$K$18&gt;0,'4.) Yearly Budget'!K86,'4.) Yearly Budget'!J86)</f>
        <v>0</v>
      </c>
      <c r="K86" s="340">
        <f t="shared" si="44"/>
        <v>0</v>
      </c>
      <c r="L86" s="238"/>
      <c r="M86" s="83">
        <f>IF('4.) Yearly Budget'!$N$18&gt;0,'4.) Yearly Budget'!N86,'4.) Yearly Budget'!M86)</f>
        <v>0</v>
      </c>
      <c r="N86" s="340">
        <f t="shared" si="45"/>
        <v>0</v>
      </c>
      <c r="O86" s="238"/>
      <c r="P86" s="83">
        <f>IF('4.) Yearly Budget'!$Q$18&gt;0,'4.) Yearly Budget'!Q86,'4.) Yearly Budget'!P86)</f>
        <v>0</v>
      </c>
      <c r="Q86" s="340">
        <f t="shared" si="46"/>
        <v>0</v>
      </c>
      <c r="R86" s="238"/>
      <c r="S86" s="83">
        <f>IF('4.) Yearly Budget'!$T$18&gt;0,'4.) Yearly Budget'!T86,'4.) Yearly Budget'!S86)</f>
        <v>0</v>
      </c>
      <c r="T86" s="86">
        <f t="shared" si="47"/>
        <v>0</v>
      </c>
      <c r="U86" s="239">
        <f t="shared" si="48"/>
        <v>0</v>
      </c>
      <c r="V86" s="337">
        <f t="shared" si="49"/>
        <v>0</v>
      </c>
      <c r="W86" s="337">
        <f t="shared" si="50"/>
        <v>0</v>
      </c>
      <c r="X86" s="337">
        <f>'4.) Yearly Budget'!W86</f>
        <v>0</v>
      </c>
      <c r="Y86" s="338">
        <f t="shared" si="51"/>
        <v>0</v>
      </c>
      <c r="Z86" s="339">
        <f>SUM(IF(I$18&lt;&gt;0,'4.) Yearly Budget'!J86,0)+IF(L$18&lt;&gt;0,'4.) Yearly Budget'!M86,0)+IF(O$18&lt;&gt;0,'4.) Yearly Budget'!P86,0)+IF(R$18&lt;&gt;0,'4.) Yearly Budget'!S86,0))</f>
        <v>0</v>
      </c>
      <c r="AA86" s="339">
        <f t="shared" si="52"/>
        <v>0</v>
      </c>
      <c r="AB86" s="339">
        <f>'4.) Yearly Budget'!V86</f>
        <v>0</v>
      </c>
      <c r="AC86" s="340">
        <f t="shared" si="53"/>
        <v>0</v>
      </c>
      <c r="AD86" s="339">
        <f>IF(U$6&lt;&gt;0,'4.) Yearly Budget'!I86/$AM$18,0)</f>
        <v>0</v>
      </c>
      <c r="AE86" s="86">
        <f t="shared" si="54"/>
        <v>0</v>
      </c>
      <c r="AF86" s="253"/>
    </row>
    <row r="87" spans="1:32" s="53" customFormat="1" ht="17.25">
      <c r="A87" s="221">
        <f t="shared" si="31"/>
        <v>87</v>
      </c>
      <c r="B87" s="77"/>
      <c r="D87" s="46" t="s">
        <v>29</v>
      </c>
      <c r="E87" s="33"/>
      <c r="F87" s="33"/>
      <c r="G87" s="544">
        <f>IFERROR(INDEX('3.) Staffing Plan'!O31:R31,COUNTIF('3.) Staffing Plan'!$O$44:$R$44,"&gt;0")),0)</f>
        <v>0</v>
      </c>
      <c r="H87" s="259"/>
      <c r="I87" s="246"/>
      <c r="J87" s="499">
        <f>IF('4.) Yearly Budget'!$K$18&gt;0,'4.) Yearly Budget'!K87,'4.) Yearly Budget'!J87)</f>
        <v>0</v>
      </c>
      <c r="K87" s="350">
        <f t="shared" si="44"/>
        <v>0</v>
      </c>
      <c r="L87" s="246"/>
      <c r="M87" s="499">
        <f>IF('4.) Yearly Budget'!$N$18&gt;0,'4.) Yearly Budget'!N87,'4.) Yearly Budget'!M87)</f>
        <v>0</v>
      </c>
      <c r="N87" s="350">
        <f t="shared" si="45"/>
        <v>0</v>
      </c>
      <c r="O87" s="246"/>
      <c r="P87" s="499">
        <f>IF('4.) Yearly Budget'!$Q$18&gt;0,'4.) Yearly Budget'!Q87,'4.) Yearly Budget'!P87)</f>
        <v>0</v>
      </c>
      <c r="Q87" s="350">
        <f t="shared" si="46"/>
        <v>0</v>
      </c>
      <c r="R87" s="246"/>
      <c r="S87" s="499">
        <f>IF('4.) Yearly Budget'!$T$18&gt;0,'4.) Yearly Budget'!T87,'4.) Yearly Budget'!S87)</f>
        <v>0</v>
      </c>
      <c r="T87" s="346">
        <f t="shared" si="47"/>
        <v>0</v>
      </c>
      <c r="U87" s="247">
        <f t="shared" si="48"/>
        <v>0</v>
      </c>
      <c r="V87" s="347">
        <f t="shared" si="49"/>
        <v>0</v>
      </c>
      <c r="W87" s="347">
        <f t="shared" si="50"/>
        <v>0</v>
      </c>
      <c r="X87" s="347">
        <f>'4.) Yearly Budget'!W87</f>
        <v>0</v>
      </c>
      <c r="Y87" s="348">
        <f t="shared" si="51"/>
        <v>0</v>
      </c>
      <c r="Z87" s="349">
        <f>SUM(IF(I$18&lt;&gt;0,'4.) Yearly Budget'!J87,0)+IF(L$18&lt;&gt;0,'4.) Yearly Budget'!M87,0)+IF(O$18&lt;&gt;0,'4.) Yearly Budget'!P87,0)+IF(R$18&lt;&gt;0,'4.) Yearly Budget'!S87,0))</f>
        <v>0</v>
      </c>
      <c r="AA87" s="349">
        <f t="shared" si="52"/>
        <v>0</v>
      </c>
      <c r="AB87" s="349">
        <f>'4.) Yearly Budget'!V87</f>
        <v>0</v>
      </c>
      <c r="AC87" s="350">
        <f t="shared" si="53"/>
        <v>0</v>
      </c>
      <c r="AD87" s="349">
        <f>IF(U$6&lt;&gt;0,'4.) Yearly Budget'!I87/$AM$18,0)</f>
        <v>0</v>
      </c>
      <c r="AE87" s="346">
        <f t="shared" si="54"/>
        <v>0</v>
      </c>
      <c r="AF87" s="253"/>
    </row>
    <row r="88" spans="1:32" s="53" customFormat="1">
      <c r="A88" s="221">
        <f t="shared" si="31"/>
        <v>88</v>
      </c>
      <c r="B88" s="77"/>
      <c r="C88" s="46" t="s">
        <v>78</v>
      </c>
      <c r="E88" s="33"/>
      <c r="F88" s="33"/>
      <c r="G88" s="541">
        <f>SUM(G80:G87)</f>
        <v>0</v>
      </c>
      <c r="H88" s="259"/>
      <c r="I88" s="573">
        <f t="shared" ref="I88:AE88" si="55">SUM(I80:I87)</f>
        <v>0</v>
      </c>
      <c r="J88" s="43">
        <f t="shared" si="55"/>
        <v>0</v>
      </c>
      <c r="K88" s="364">
        <f t="shared" si="55"/>
        <v>0</v>
      </c>
      <c r="L88" s="43">
        <f>SUM(L80:L87)</f>
        <v>0</v>
      </c>
      <c r="M88" s="43">
        <f t="shared" si="55"/>
        <v>0</v>
      </c>
      <c r="N88" s="364">
        <f t="shared" si="55"/>
        <v>0</v>
      </c>
      <c r="O88" s="43">
        <f>SUM(O80:O87)</f>
        <v>0</v>
      </c>
      <c r="P88" s="43">
        <f t="shared" si="55"/>
        <v>0</v>
      </c>
      <c r="Q88" s="364">
        <f t="shared" si="55"/>
        <v>0</v>
      </c>
      <c r="R88" s="43">
        <f>SUM(R80:R87)</f>
        <v>0</v>
      </c>
      <c r="S88" s="43">
        <f t="shared" si="55"/>
        <v>0</v>
      </c>
      <c r="T88" s="102">
        <f t="shared" si="55"/>
        <v>0</v>
      </c>
      <c r="U88" s="256">
        <f t="shared" si="55"/>
        <v>0</v>
      </c>
      <c r="V88" s="43">
        <f t="shared" si="55"/>
        <v>0</v>
      </c>
      <c r="W88" s="43">
        <f t="shared" si="55"/>
        <v>0</v>
      </c>
      <c r="X88" s="43">
        <f t="shared" si="55"/>
        <v>0</v>
      </c>
      <c r="Y88" s="365">
        <f t="shared" si="55"/>
        <v>0</v>
      </c>
      <c r="Z88" s="101">
        <f t="shared" si="55"/>
        <v>0</v>
      </c>
      <c r="AA88" s="101">
        <f t="shared" si="55"/>
        <v>0</v>
      </c>
      <c r="AB88" s="101">
        <f t="shared" si="55"/>
        <v>0</v>
      </c>
      <c r="AC88" s="364">
        <f t="shared" si="55"/>
        <v>0</v>
      </c>
      <c r="AD88" s="101">
        <f t="shared" si="55"/>
        <v>0</v>
      </c>
      <c r="AE88" s="367">
        <f t="shared" si="55"/>
        <v>0</v>
      </c>
      <c r="AF88" s="253"/>
    </row>
    <row r="89" spans="1:32" s="53" customFormat="1" ht="7.5" customHeight="1">
      <c r="A89" s="221">
        <f t="shared" si="31"/>
        <v>89</v>
      </c>
      <c r="B89" s="77"/>
      <c r="D89" s="33"/>
      <c r="E89" s="33"/>
      <c r="F89" s="33"/>
      <c r="G89" s="545"/>
      <c r="H89" s="76"/>
      <c r="I89" s="76"/>
      <c r="J89" s="76"/>
      <c r="K89" s="76"/>
      <c r="L89" s="76"/>
      <c r="M89" s="76"/>
      <c r="N89" s="76"/>
      <c r="O89" s="76"/>
      <c r="P89" s="76"/>
      <c r="Q89" s="76"/>
      <c r="R89" s="76"/>
      <c r="S89" s="76"/>
      <c r="T89" s="99"/>
      <c r="U89" s="76"/>
      <c r="V89" s="76"/>
      <c r="W89" s="76"/>
      <c r="X89" s="76"/>
      <c r="Y89" s="76"/>
      <c r="Z89" s="76"/>
      <c r="AA89" s="76"/>
      <c r="AB89" s="76"/>
      <c r="AC89" s="76"/>
      <c r="AD89" s="76"/>
      <c r="AE89" s="99"/>
      <c r="AF89" s="253"/>
    </row>
    <row r="90" spans="1:32" s="53" customFormat="1">
      <c r="A90" s="221">
        <f t="shared" si="31"/>
        <v>90</v>
      </c>
      <c r="B90" s="77"/>
      <c r="C90" s="100" t="s">
        <v>79</v>
      </c>
      <c r="D90" s="41"/>
      <c r="G90" s="547"/>
      <c r="H90" s="76"/>
      <c r="I90" s="79"/>
      <c r="J90" s="79"/>
      <c r="K90" s="79"/>
      <c r="L90" s="79"/>
      <c r="M90" s="79"/>
      <c r="N90" s="79"/>
      <c r="O90" s="79"/>
      <c r="P90" s="79"/>
      <c r="Q90" s="79"/>
      <c r="R90" s="79"/>
      <c r="S90" s="79"/>
      <c r="T90" s="80"/>
      <c r="U90" s="76"/>
      <c r="V90" s="76"/>
      <c r="W90" s="76"/>
      <c r="X90" s="76"/>
      <c r="Y90" s="76"/>
      <c r="Z90" s="76"/>
      <c r="AA90" s="76"/>
      <c r="AB90" s="76"/>
      <c r="AC90" s="76"/>
      <c r="AD90" s="76"/>
      <c r="AE90" s="99"/>
      <c r="AF90" s="253"/>
    </row>
    <row r="91" spans="1:32" s="53" customFormat="1">
      <c r="A91" s="221">
        <f t="shared" si="31"/>
        <v>91</v>
      </c>
      <c r="B91" s="77"/>
      <c r="D91" s="45" t="s">
        <v>100</v>
      </c>
      <c r="E91" s="33"/>
      <c r="F91" s="33"/>
      <c r="G91" s="541">
        <f>IFERROR(INDEX('3.) Staffing Plan'!O37:R37,COUNTIF('3.) Staffing Plan'!$O$44:$R$44,"&gt;0")),0)</f>
        <v>0</v>
      </c>
      <c r="H91" s="76"/>
      <c r="I91" s="238"/>
      <c r="J91" s="83">
        <f>IF('4.) Yearly Budget'!$K$18&gt;0,'4.) Yearly Budget'!K91,'4.) Yearly Budget'!J91)</f>
        <v>0</v>
      </c>
      <c r="K91" s="340">
        <f>IF(I$18&lt;&gt;0,J91-I91,0)</f>
        <v>0</v>
      </c>
      <c r="L91" s="238"/>
      <c r="M91" s="83">
        <f>IF('4.) Yearly Budget'!$N$18&gt;0,'4.) Yearly Budget'!N91,'4.) Yearly Budget'!M91)</f>
        <v>0</v>
      </c>
      <c r="N91" s="340">
        <f>IF(L$18&lt;&gt;0,M91-L91,0)</f>
        <v>0</v>
      </c>
      <c r="O91" s="238"/>
      <c r="P91" s="83">
        <f>IF('4.) Yearly Budget'!$Q$18&gt;0,'4.) Yearly Budget'!Q91,'4.) Yearly Budget'!P91)</f>
        <v>0</v>
      </c>
      <c r="Q91" s="340">
        <f>IF(O$18&lt;&gt;0,P91-O91,0)</f>
        <v>0</v>
      </c>
      <c r="R91" s="238"/>
      <c r="S91" s="83">
        <f>IF('4.) Yearly Budget'!$T$18&gt;0,'4.) Yearly Budget'!T91,'4.) Yearly Budget'!S91)</f>
        <v>0</v>
      </c>
      <c r="T91" s="86">
        <f>IF(R$18&lt;&gt;0,S91-R91,0)</f>
        <v>0</v>
      </c>
      <c r="U91" s="239">
        <f>IF(I$6&lt;&gt;0,I91,0)+IF(L$6&lt;&gt;0,L91,0)+IF(O$6&lt;&gt;0,O91,0)+IF(R$6&lt;&gt;0,R91,0)</f>
        <v>0</v>
      </c>
      <c r="V91" s="337">
        <f>SUM(IF(I$6&lt;&gt;0,J91,0)+IF(L$6&lt;&gt;0,M91,0)+IF(O$6&lt;&gt;0,P91,0)+IF(R$6&lt;&gt;0,S91,0))</f>
        <v>0</v>
      </c>
      <c r="W91" s="337">
        <f>V91-U91</f>
        <v>0</v>
      </c>
      <c r="X91" s="337">
        <f>'4.) Yearly Budget'!W91</f>
        <v>0</v>
      </c>
      <c r="Y91" s="338">
        <f>IF(U91&lt;&gt;0,X91-U91,IF(U91=0,X91,0))</f>
        <v>0</v>
      </c>
      <c r="Z91" s="339">
        <f>SUM(IF(I$18&lt;&gt;0,'4.) Yearly Budget'!J91,0)+IF(L$18&lt;&gt;0,'4.) Yearly Budget'!M91,0)+IF(O$18&lt;&gt;0,'4.) Yearly Budget'!P91,0)+IF(R$18&lt;&gt;0,'4.) Yearly Budget'!S91,0))</f>
        <v>0</v>
      </c>
      <c r="AA91" s="339">
        <f>Z91-U91</f>
        <v>0</v>
      </c>
      <c r="AB91" s="339">
        <f>'4.) Yearly Budget'!V91</f>
        <v>0</v>
      </c>
      <c r="AC91" s="340">
        <f>IF(U91&lt;&gt;0,AB91-U91,IF(U91=0,AB91,0))</f>
        <v>0</v>
      </c>
      <c r="AD91" s="339">
        <f>IF(U$6&lt;&gt;0,'4.) Yearly Budget'!I91/$AM$18,0)</f>
        <v>0</v>
      </c>
      <c r="AE91" s="86">
        <f>AD91-U91</f>
        <v>0</v>
      </c>
      <c r="AF91" s="253"/>
    </row>
    <row r="92" spans="1:32" s="53" customFormat="1">
      <c r="A92" s="221">
        <f t="shared" si="31"/>
        <v>92</v>
      </c>
      <c r="B92" s="77"/>
      <c r="D92" s="45" t="s">
        <v>101</v>
      </c>
      <c r="E92" s="33"/>
      <c r="F92" s="33"/>
      <c r="G92" s="541">
        <f>IFERROR(INDEX('3.) Staffing Plan'!O38:R38,COUNTIF('3.) Staffing Plan'!$O$44:$R$44,"&gt;0")),0)</f>
        <v>0</v>
      </c>
      <c r="H92" s="76"/>
      <c r="I92" s="238"/>
      <c r="J92" s="83">
        <f>IF('4.) Yearly Budget'!$K$18&gt;0,'4.) Yearly Budget'!K92,'4.) Yearly Budget'!J92)</f>
        <v>0</v>
      </c>
      <c r="K92" s="340">
        <f>IF(I$18&lt;&gt;0,J92-I92,0)</f>
        <v>0</v>
      </c>
      <c r="L92" s="238"/>
      <c r="M92" s="83">
        <f>IF('4.) Yearly Budget'!$N$18&gt;0,'4.) Yearly Budget'!N92,'4.) Yearly Budget'!M92)</f>
        <v>0</v>
      </c>
      <c r="N92" s="340">
        <f>IF(L$18&lt;&gt;0,M92-L92,0)</f>
        <v>0</v>
      </c>
      <c r="O92" s="238"/>
      <c r="P92" s="83">
        <f>IF('4.) Yearly Budget'!$Q$18&gt;0,'4.) Yearly Budget'!Q92,'4.) Yearly Budget'!P92)</f>
        <v>0</v>
      </c>
      <c r="Q92" s="340">
        <f>IF(O$18&lt;&gt;0,P92-O92,0)</f>
        <v>0</v>
      </c>
      <c r="R92" s="238"/>
      <c r="S92" s="83">
        <f>IF('4.) Yearly Budget'!$T$18&gt;0,'4.) Yearly Budget'!T92,'4.) Yearly Budget'!S92)</f>
        <v>0</v>
      </c>
      <c r="T92" s="86">
        <f>IF(R$18&lt;&gt;0,S92-R92,0)</f>
        <v>0</v>
      </c>
      <c r="U92" s="239">
        <f>IF(I$6&lt;&gt;0,I92,0)+IF(L$6&lt;&gt;0,L92,0)+IF(O$6&lt;&gt;0,O92,0)+IF(R$6&lt;&gt;0,R92,0)</f>
        <v>0</v>
      </c>
      <c r="V92" s="337">
        <f>SUM(IF(I$6&lt;&gt;0,J92,0)+IF(L$6&lt;&gt;0,M92,0)+IF(O$6&lt;&gt;0,P92,0)+IF(R$6&lt;&gt;0,S92,0))</f>
        <v>0</v>
      </c>
      <c r="W92" s="337">
        <f>V92-U92</f>
        <v>0</v>
      </c>
      <c r="X92" s="337">
        <f>'4.) Yearly Budget'!W92</f>
        <v>0</v>
      </c>
      <c r="Y92" s="338">
        <f>IF(U92&lt;&gt;0,X92-U92,IF(U92=0,X92,0))</f>
        <v>0</v>
      </c>
      <c r="Z92" s="339">
        <f>SUM(IF(I$18&lt;&gt;0,'4.) Yearly Budget'!J92,0)+IF(L$18&lt;&gt;0,'4.) Yearly Budget'!M92,0)+IF(O$18&lt;&gt;0,'4.) Yearly Budget'!P92,0)+IF(R$18&lt;&gt;0,'4.) Yearly Budget'!S92,0))</f>
        <v>0</v>
      </c>
      <c r="AA92" s="339">
        <f>Z92-U92</f>
        <v>0</v>
      </c>
      <c r="AB92" s="339">
        <f>'4.) Yearly Budget'!V92</f>
        <v>0</v>
      </c>
      <c r="AC92" s="340">
        <f>IF(U92&lt;&gt;0,AB92-U92,IF(U92=0,AB92,0))</f>
        <v>0</v>
      </c>
      <c r="AD92" s="339">
        <f>IF(U$6&lt;&gt;0,'4.) Yearly Budget'!I92/$AM$18,0)</f>
        <v>0</v>
      </c>
      <c r="AE92" s="86">
        <f>AD92-U92</f>
        <v>0</v>
      </c>
      <c r="AF92" s="253"/>
    </row>
    <row r="93" spans="1:32" s="53" customFormat="1">
      <c r="A93" s="221">
        <f t="shared" si="31"/>
        <v>93</v>
      </c>
      <c r="B93" s="77"/>
      <c r="D93" s="45" t="s">
        <v>102</v>
      </c>
      <c r="E93" s="33"/>
      <c r="F93" s="33"/>
      <c r="G93" s="541">
        <f>IFERROR(INDEX('3.) Staffing Plan'!O39:R39,COUNTIF('3.) Staffing Plan'!$O$44:$R$44,"&gt;0")),0)</f>
        <v>0</v>
      </c>
      <c r="H93" s="76"/>
      <c r="I93" s="238"/>
      <c r="J93" s="83">
        <f>IF('4.) Yearly Budget'!$K$18&gt;0,'4.) Yearly Budget'!K93,'4.) Yearly Budget'!J93)</f>
        <v>0</v>
      </c>
      <c r="K93" s="340">
        <f>IF(I$18&lt;&gt;0,J93-I93,0)</f>
        <v>0</v>
      </c>
      <c r="L93" s="238"/>
      <c r="M93" s="83">
        <f>IF('4.) Yearly Budget'!$N$18&gt;0,'4.) Yearly Budget'!N93,'4.) Yearly Budget'!M93)</f>
        <v>0</v>
      </c>
      <c r="N93" s="340">
        <f>IF(L$18&lt;&gt;0,M93-L93,0)</f>
        <v>0</v>
      </c>
      <c r="O93" s="238"/>
      <c r="P93" s="83">
        <f>IF('4.) Yearly Budget'!$Q$18&gt;0,'4.) Yearly Budget'!Q93,'4.) Yearly Budget'!P93)</f>
        <v>0</v>
      </c>
      <c r="Q93" s="340">
        <f>IF(O$18&lt;&gt;0,P93-O93,0)</f>
        <v>0</v>
      </c>
      <c r="R93" s="238"/>
      <c r="S93" s="83">
        <f>IF('4.) Yearly Budget'!$T$18&gt;0,'4.) Yearly Budget'!T93,'4.) Yearly Budget'!S93)</f>
        <v>0</v>
      </c>
      <c r="T93" s="86">
        <f>IF(R$18&lt;&gt;0,S93-R93,0)</f>
        <v>0</v>
      </c>
      <c r="U93" s="239">
        <f>IF(I$6&lt;&gt;0,I93,0)+IF(L$6&lt;&gt;0,L93,0)+IF(O$6&lt;&gt;0,O93,0)+IF(R$6&lt;&gt;0,R93,0)</f>
        <v>0</v>
      </c>
      <c r="V93" s="337">
        <f>SUM(IF(I$6&lt;&gt;0,J93,0)+IF(L$6&lt;&gt;0,M93,0)+IF(O$6&lt;&gt;0,P93,0)+IF(R$6&lt;&gt;0,S93,0))</f>
        <v>0</v>
      </c>
      <c r="W93" s="337">
        <f>V93-U93</f>
        <v>0</v>
      </c>
      <c r="X93" s="337">
        <f>'4.) Yearly Budget'!W93</f>
        <v>0</v>
      </c>
      <c r="Y93" s="338">
        <f>IF(U93&lt;&gt;0,X93-U93,IF(U93=0,X93,0))</f>
        <v>0</v>
      </c>
      <c r="Z93" s="339">
        <f>SUM(IF(I$18&lt;&gt;0,'4.) Yearly Budget'!J93,0)+IF(L$18&lt;&gt;0,'4.) Yearly Budget'!M93,0)+IF(O$18&lt;&gt;0,'4.) Yearly Budget'!P93,0)+IF(R$18&lt;&gt;0,'4.) Yearly Budget'!S93,0))</f>
        <v>0</v>
      </c>
      <c r="AA93" s="339">
        <f>Z93-U93</f>
        <v>0</v>
      </c>
      <c r="AB93" s="339">
        <f>'4.) Yearly Budget'!V93</f>
        <v>0</v>
      </c>
      <c r="AC93" s="340">
        <f>IF(U93&lt;&gt;0,AB93-U93,IF(U93=0,AB93,0))</f>
        <v>0</v>
      </c>
      <c r="AD93" s="339">
        <f>IF(U$6&lt;&gt;0,'4.) Yearly Budget'!I93/$AM$18,0)</f>
        <v>0</v>
      </c>
      <c r="AE93" s="86">
        <f>AD93-U93</f>
        <v>0</v>
      </c>
      <c r="AF93" s="253"/>
    </row>
    <row r="94" spans="1:32" s="53" customFormat="1">
      <c r="A94" s="221">
        <f t="shared" si="31"/>
        <v>94</v>
      </c>
      <c r="B94" s="77"/>
      <c r="D94" s="45" t="s">
        <v>7</v>
      </c>
      <c r="E94" s="33"/>
      <c r="F94" s="33"/>
      <c r="G94" s="541">
        <f>IFERROR(INDEX('3.) Staffing Plan'!O40:R40,COUNTIF('3.) Staffing Plan'!$O$44:$R$44,"&gt;0")),0)</f>
        <v>0</v>
      </c>
      <c r="H94" s="76"/>
      <c r="I94" s="238"/>
      <c r="J94" s="83">
        <f>IF('4.) Yearly Budget'!$K$18&gt;0,'4.) Yearly Budget'!K94,'4.) Yearly Budget'!J94)</f>
        <v>0</v>
      </c>
      <c r="K94" s="340">
        <f>IF(I$18&lt;&gt;0,J94-I94,0)</f>
        <v>0</v>
      </c>
      <c r="L94" s="238"/>
      <c r="M94" s="83">
        <f>IF('4.) Yearly Budget'!$N$18&gt;0,'4.) Yearly Budget'!N94,'4.) Yearly Budget'!M94)</f>
        <v>0</v>
      </c>
      <c r="N94" s="340">
        <f>IF(L$18&lt;&gt;0,M94-L94,0)</f>
        <v>0</v>
      </c>
      <c r="O94" s="238"/>
      <c r="P94" s="83">
        <f>IF('4.) Yearly Budget'!$Q$18&gt;0,'4.) Yearly Budget'!Q94,'4.) Yearly Budget'!P94)</f>
        <v>0</v>
      </c>
      <c r="Q94" s="340">
        <f>IF(O$18&lt;&gt;0,P94-O94,0)</f>
        <v>0</v>
      </c>
      <c r="R94" s="238"/>
      <c r="S94" s="83">
        <f>IF('4.) Yearly Budget'!$T$18&gt;0,'4.) Yearly Budget'!T94,'4.) Yearly Budget'!S94)</f>
        <v>0</v>
      </c>
      <c r="T94" s="86">
        <f>IF(R$18&lt;&gt;0,S94-R94,0)</f>
        <v>0</v>
      </c>
      <c r="U94" s="239">
        <f>IF(I$6&lt;&gt;0,I94,0)+IF(L$6&lt;&gt;0,L94,0)+IF(O$6&lt;&gt;0,O94,0)+IF(R$6&lt;&gt;0,R94,0)</f>
        <v>0</v>
      </c>
      <c r="V94" s="337">
        <f>SUM(IF(I$6&lt;&gt;0,J94,0)+IF(L$6&lt;&gt;0,M94,0)+IF(O$6&lt;&gt;0,P94,0)+IF(R$6&lt;&gt;0,S94,0))</f>
        <v>0</v>
      </c>
      <c r="W94" s="337">
        <f>V94-U94</f>
        <v>0</v>
      </c>
      <c r="X94" s="337">
        <f>'4.) Yearly Budget'!W94</f>
        <v>0</v>
      </c>
      <c r="Y94" s="338">
        <f>IF(U94&lt;&gt;0,X94-U94,IF(U94=0,X94,0))</f>
        <v>0</v>
      </c>
      <c r="Z94" s="339">
        <f>SUM(IF(I$18&lt;&gt;0,'4.) Yearly Budget'!J94,0)+IF(L$18&lt;&gt;0,'4.) Yearly Budget'!M94,0)+IF(O$18&lt;&gt;0,'4.) Yearly Budget'!P94,0)+IF(R$18&lt;&gt;0,'4.) Yearly Budget'!S94,0))</f>
        <v>0</v>
      </c>
      <c r="AA94" s="339">
        <f>Z94-U94</f>
        <v>0</v>
      </c>
      <c r="AB94" s="339">
        <f>'4.) Yearly Budget'!V94</f>
        <v>0</v>
      </c>
      <c r="AC94" s="340">
        <f>IF(U94&lt;&gt;0,AB94-U94,IF(U94=0,AB94,0))</f>
        <v>0</v>
      </c>
      <c r="AD94" s="339">
        <f>IF(U$6&lt;&gt;0,'4.) Yearly Budget'!I94/$AM$18,0)</f>
        <v>0</v>
      </c>
      <c r="AE94" s="86">
        <f>AD94-U94</f>
        <v>0</v>
      </c>
      <c r="AF94" s="253"/>
    </row>
    <row r="95" spans="1:32" s="53" customFormat="1" ht="17.25">
      <c r="A95" s="221">
        <f t="shared" si="31"/>
        <v>95</v>
      </c>
      <c r="B95" s="77"/>
      <c r="D95" s="45" t="s">
        <v>29</v>
      </c>
      <c r="E95" s="33"/>
      <c r="F95" s="33"/>
      <c r="G95" s="544">
        <f>IFERROR(INDEX('3.) Staffing Plan'!O41:R41,COUNTIF('3.) Staffing Plan'!$O$44:$R$44,"&gt;0")),0)</f>
        <v>0</v>
      </c>
      <c r="H95" s="76"/>
      <c r="I95" s="246"/>
      <c r="J95" s="499">
        <f>IF('4.) Yearly Budget'!$K$18&gt;0,'4.) Yearly Budget'!K95,'4.) Yearly Budget'!J95)</f>
        <v>0</v>
      </c>
      <c r="K95" s="350">
        <f>IF(I$18&lt;&gt;0,J95-I95,0)</f>
        <v>0</v>
      </c>
      <c r="L95" s="246"/>
      <c r="M95" s="499">
        <f>IF('4.) Yearly Budget'!$N$18&gt;0,'4.) Yearly Budget'!N95,'4.) Yearly Budget'!M95)</f>
        <v>0</v>
      </c>
      <c r="N95" s="350">
        <f>IF(L$18&lt;&gt;0,M95-L95,0)</f>
        <v>0</v>
      </c>
      <c r="O95" s="246"/>
      <c r="P95" s="499">
        <f>IF('4.) Yearly Budget'!$Q$18&gt;0,'4.) Yearly Budget'!Q95,'4.) Yearly Budget'!P95)</f>
        <v>0</v>
      </c>
      <c r="Q95" s="350">
        <f>IF(O$18&lt;&gt;0,P95-O95,0)</f>
        <v>0</v>
      </c>
      <c r="R95" s="246"/>
      <c r="S95" s="499">
        <f>IF('4.) Yearly Budget'!$T$18&gt;0,'4.) Yearly Budget'!T95,'4.) Yearly Budget'!S95)</f>
        <v>0</v>
      </c>
      <c r="T95" s="346">
        <f>IF(R$18&lt;&gt;0,S95-R95,0)</f>
        <v>0</v>
      </c>
      <c r="U95" s="247">
        <f>IF(I$6&lt;&gt;0,I95,0)+IF(L$6&lt;&gt;0,L95,0)+IF(O$6&lt;&gt;0,O95,0)+IF(R$6&lt;&gt;0,R95,0)</f>
        <v>0</v>
      </c>
      <c r="V95" s="347">
        <f>SUM(IF(I$6&lt;&gt;0,J95,0)+IF(L$6&lt;&gt;0,M95,0)+IF(O$6&lt;&gt;0,P95,0)+IF(R$6&lt;&gt;0,S95,0))</f>
        <v>0</v>
      </c>
      <c r="W95" s="347">
        <f>V95-U95</f>
        <v>0</v>
      </c>
      <c r="X95" s="347">
        <f>'4.) Yearly Budget'!W95</f>
        <v>0</v>
      </c>
      <c r="Y95" s="348">
        <f>IF(U95&lt;&gt;0,X95-U95,IF(U95=0,X95,0))</f>
        <v>0</v>
      </c>
      <c r="Z95" s="349">
        <f>SUM(IF(I$18&lt;&gt;0,'4.) Yearly Budget'!J95,0)+IF(L$18&lt;&gt;0,'4.) Yearly Budget'!M95,0)+IF(O$18&lt;&gt;0,'4.) Yearly Budget'!P95,0)+IF(R$18&lt;&gt;0,'4.) Yearly Budget'!S95,0))</f>
        <v>0</v>
      </c>
      <c r="AA95" s="349">
        <f>Z95-U95</f>
        <v>0</v>
      </c>
      <c r="AB95" s="349">
        <f>'4.) Yearly Budget'!V95</f>
        <v>0</v>
      </c>
      <c r="AC95" s="350">
        <f>IF(U95&lt;&gt;0,AB95-U95,IF(U95=0,AB95,0))</f>
        <v>0</v>
      </c>
      <c r="AD95" s="349">
        <f>IF(U$6&lt;&gt;0,'4.) Yearly Budget'!I95/$AM$18,0)</f>
        <v>0</v>
      </c>
      <c r="AE95" s="346">
        <f>AD95-U95</f>
        <v>0</v>
      </c>
      <c r="AF95" s="253"/>
    </row>
    <row r="96" spans="1:32" s="53" customFormat="1">
      <c r="A96" s="221">
        <f t="shared" si="31"/>
        <v>96</v>
      </c>
      <c r="B96" s="77"/>
      <c r="C96" s="46" t="s">
        <v>80</v>
      </c>
      <c r="E96" s="33"/>
      <c r="F96" s="33"/>
      <c r="G96" s="541">
        <f>SUM(G91:G95)</f>
        <v>0</v>
      </c>
      <c r="H96" s="76"/>
      <c r="I96" s="573">
        <f t="shared" ref="I96:AE96" si="56">SUM(I91:I95)</f>
        <v>0</v>
      </c>
      <c r="J96" s="43">
        <f t="shared" si="56"/>
        <v>0</v>
      </c>
      <c r="K96" s="364">
        <f t="shared" si="56"/>
        <v>0</v>
      </c>
      <c r="L96" s="43">
        <f>SUM(L91:L95)</f>
        <v>0</v>
      </c>
      <c r="M96" s="43">
        <f t="shared" si="56"/>
        <v>0</v>
      </c>
      <c r="N96" s="364">
        <f t="shared" si="56"/>
        <v>0</v>
      </c>
      <c r="O96" s="43">
        <f>SUM(O91:O95)</f>
        <v>0</v>
      </c>
      <c r="P96" s="43">
        <f t="shared" si="56"/>
        <v>0</v>
      </c>
      <c r="Q96" s="364">
        <f t="shared" si="56"/>
        <v>0</v>
      </c>
      <c r="R96" s="43">
        <f>SUM(R91:R95)</f>
        <v>0</v>
      </c>
      <c r="S96" s="43">
        <f t="shared" si="56"/>
        <v>0</v>
      </c>
      <c r="T96" s="102">
        <f t="shared" si="56"/>
        <v>0</v>
      </c>
      <c r="U96" s="256">
        <f t="shared" si="56"/>
        <v>0</v>
      </c>
      <c r="V96" s="43">
        <f t="shared" si="56"/>
        <v>0</v>
      </c>
      <c r="W96" s="43">
        <f t="shared" si="56"/>
        <v>0</v>
      </c>
      <c r="X96" s="43">
        <f t="shared" si="56"/>
        <v>0</v>
      </c>
      <c r="Y96" s="365">
        <f t="shared" si="56"/>
        <v>0</v>
      </c>
      <c r="Z96" s="101">
        <f t="shared" si="56"/>
        <v>0</v>
      </c>
      <c r="AA96" s="101">
        <f t="shared" si="56"/>
        <v>0</v>
      </c>
      <c r="AB96" s="101">
        <f t="shared" si="56"/>
        <v>0</v>
      </c>
      <c r="AC96" s="364">
        <f t="shared" si="56"/>
        <v>0</v>
      </c>
      <c r="AD96" s="101">
        <f t="shared" si="56"/>
        <v>0</v>
      </c>
      <c r="AE96" s="366">
        <f t="shared" si="56"/>
        <v>0</v>
      </c>
      <c r="AF96" s="253"/>
    </row>
    <row r="97" spans="1:32" s="53" customFormat="1" ht="7.5" customHeight="1">
      <c r="A97" s="221">
        <f t="shared" si="31"/>
        <v>97</v>
      </c>
      <c r="B97" s="77"/>
      <c r="D97" s="33"/>
      <c r="E97" s="33"/>
      <c r="F97" s="33"/>
      <c r="G97" s="545"/>
      <c r="H97" s="76"/>
      <c r="I97" s="85"/>
      <c r="J97" s="85"/>
      <c r="K97" s="85"/>
      <c r="L97" s="85"/>
      <c r="M97" s="85"/>
      <c r="N97" s="85"/>
      <c r="O97" s="85"/>
      <c r="P97" s="85"/>
      <c r="Q97" s="85"/>
      <c r="R97" s="85"/>
      <c r="S97" s="85"/>
      <c r="T97" s="86"/>
      <c r="U97" s="88"/>
      <c r="V97" s="88"/>
      <c r="W97" s="88"/>
      <c r="X97" s="88"/>
      <c r="Y97" s="88"/>
      <c r="Z97" s="88"/>
      <c r="AA97" s="88"/>
      <c r="AB97" s="88"/>
      <c r="AC97" s="88"/>
      <c r="AD97" s="88"/>
      <c r="AE97" s="88"/>
      <c r="AF97" s="253"/>
    </row>
    <row r="98" spans="1:32" s="53" customFormat="1">
      <c r="A98" s="221">
        <f t="shared" si="31"/>
        <v>98</v>
      </c>
      <c r="B98" s="77"/>
      <c r="C98" s="50" t="s">
        <v>81</v>
      </c>
      <c r="D98" s="41"/>
      <c r="E98" s="41"/>
      <c r="F98" s="41"/>
      <c r="G98" s="548">
        <f>G77+G88+G96</f>
        <v>0</v>
      </c>
      <c r="H98" s="76"/>
      <c r="I98" s="243">
        <f t="shared" ref="I98:AE98" si="57">I77+I88+I96</f>
        <v>0</v>
      </c>
      <c r="J98" s="133">
        <f t="shared" si="57"/>
        <v>0</v>
      </c>
      <c r="K98" s="351">
        <f t="shared" si="57"/>
        <v>0</v>
      </c>
      <c r="L98" s="133">
        <f>L77+L88+L96</f>
        <v>0</v>
      </c>
      <c r="M98" s="133">
        <f t="shared" si="57"/>
        <v>0</v>
      </c>
      <c r="N98" s="351">
        <f t="shared" si="57"/>
        <v>0</v>
      </c>
      <c r="O98" s="133">
        <f>O77+O88+O96</f>
        <v>0</v>
      </c>
      <c r="P98" s="133">
        <f t="shared" si="57"/>
        <v>0</v>
      </c>
      <c r="Q98" s="351">
        <f t="shared" si="57"/>
        <v>0</v>
      </c>
      <c r="R98" s="133">
        <f>R77+R88+R96</f>
        <v>0</v>
      </c>
      <c r="S98" s="133">
        <f t="shared" si="57"/>
        <v>0</v>
      </c>
      <c r="T98" s="84">
        <f t="shared" si="57"/>
        <v>0</v>
      </c>
      <c r="U98" s="239">
        <f t="shared" si="57"/>
        <v>0</v>
      </c>
      <c r="V98" s="133">
        <f t="shared" si="57"/>
        <v>0</v>
      </c>
      <c r="W98" s="133">
        <f t="shared" si="57"/>
        <v>0</v>
      </c>
      <c r="X98" s="133">
        <f t="shared" si="57"/>
        <v>0</v>
      </c>
      <c r="Y98" s="341">
        <f t="shared" si="57"/>
        <v>0</v>
      </c>
      <c r="Z98" s="83">
        <f t="shared" si="57"/>
        <v>0</v>
      </c>
      <c r="AA98" s="83">
        <f t="shared" si="57"/>
        <v>0</v>
      </c>
      <c r="AB98" s="83">
        <f t="shared" si="57"/>
        <v>0</v>
      </c>
      <c r="AC98" s="351">
        <f t="shared" si="57"/>
        <v>0</v>
      </c>
      <c r="AD98" s="83">
        <f t="shared" si="57"/>
        <v>0</v>
      </c>
      <c r="AE98" s="86">
        <f t="shared" si="57"/>
        <v>0</v>
      </c>
      <c r="AF98" s="253"/>
    </row>
    <row r="99" spans="1:32" s="53" customFormat="1" ht="7.5" customHeight="1">
      <c r="A99" s="221">
        <f t="shared" si="31"/>
        <v>99</v>
      </c>
      <c r="B99" s="77"/>
      <c r="D99" s="33"/>
      <c r="E99" s="33"/>
      <c r="F99" s="33"/>
      <c r="G99" s="545"/>
      <c r="H99" s="76"/>
      <c r="I99" s="88"/>
      <c r="J99" s="88"/>
      <c r="K99" s="88"/>
      <c r="L99" s="88"/>
      <c r="M99" s="88"/>
      <c r="N99" s="88"/>
      <c r="O99" s="88"/>
      <c r="P99" s="88"/>
      <c r="Q99" s="88"/>
      <c r="R99" s="88"/>
      <c r="S99" s="88"/>
      <c r="T99" s="89"/>
      <c r="U99" s="88"/>
      <c r="V99" s="88"/>
      <c r="W99" s="88"/>
      <c r="X99" s="88"/>
      <c r="Y99" s="88"/>
      <c r="Z99" s="88"/>
      <c r="AA99" s="88"/>
      <c r="AB99" s="88"/>
      <c r="AC99" s="88"/>
      <c r="AD99" s="88"/>
      <c r="AE99" s="89"/>
      <c r="AF99" s="253"/>
    </row>
    <row r="100" spans="1:32" s="53" customFormat="1">
      <c r="A100" s="221">
        <f t="shared" si="31"/>
        <v>100</v>
      </c>
      <c r="B100" s="77"/>
      <c r="C100" s="100" t="s">
        <v>82</v>
      </c>
      <c r="D100" s="41"/>
      <c r="E100" s="41"/>
      <c r="F100" s="41"/>
      <c r="G100" s="547"/>
      <c r="H100" s="76"/>
      <c r="I100" s="79"/>
      <c r="J100" s="79"/>
      <c r="K100" s="79"/>
      <c r="L100" s="79"/>
      <c r="M100" s="79"/>
      <c r="N100" s="79"/>
      <c r="O100" s="79"/>
      <c r="P100" s="79"/>
      <c r="Q100" s="79"/>
      <c r="R100" s="79"/>
      <c r="S100" s="79"/>
      <c r="T100" s="80"/>
      <c r="U100" s="76"/>
      <c r="V100" s="76"/>
      <c r="W100" s="76"/>
      <c r="X100" s="76"/>
      <c r="Y100" s="76"/>
      <c r="Z100" s="76"/>
      <c r="AA100" s="76"/>
      <c r="AB100" s="76"/>
      <c r="AC100" s="76"/>
      <c r="AD100" s="76"/>
      <c r="AE100" s="99"/>
      <c r="AF100" s="253"/>
    </row>
    <row r="101" spans="1:32" s="53" customFormat="1">
      <c r="A101" s="221">
        <f t="shared" si="31"/>
        <v>101</v>
      </c>
      <c r="B101" s="77"/>
      <c r="D101" s="45" t="s">
        <v>14</v>
      </c>
      <c r="E101" s="41"/>
      <c r="F101" s="41"/>
      <c r="G101" s="547"/>
      <c r="H101" s="76"/>
      <c r="I101" s="238"/>
      <c r="J101" s="83">
        <f>IF('4.) Yearly Budget'!$K$18&gt;0,'4.) Yearly Budget'!K101,'4.) Yearly Budget'!J101)</f>
        <v>0</v>
      </c>
      <c r="K101" s="340">
        <f>IF(I$18&lt;&gt;0,J101-I101,0)</f>
        <v>0</v>
      </c>
      <c r="L101" s="81"/>
      <c r="M101" s="83">
        <f>IF('4.) Yearly Budget'!$N$18&gt;0,'4.) Yearly Budget'!N101,'4.) Yearly Budget'!M101)</f>
        <v>0</v>
      </c>
      <c r="N101" s="340">
        <f>IF(L$18&lt;&gt;0,M101-L101,0)</f>
        <v>0</v>
      </c>
      <c r="O101" s="81"/>
      <c r="P101" s="83">
        <f>IF('4.) Yearly Budget'!$Q$18&gt;0,'4.) Yearly Budget'!Q101,'4.) Yearly Budget'!P101)</f>
        <v>0</v>
      </c>
      <c r="Q101" s="340">
        <f>IF(O$18&lt;&gt;0,P101-O101,0)</f>
        <v>0</v>
      </c>
      <c r="R101" s="81"/>
      <c r="S101" s="83">
        <f>IF('4.) Yearly Budget'!$T$18&gt;0,'4.) Yearly Budget'!T101,'4.) Yearly Budget'!S101)</f>
        <v>0</v>
      </c>
      <c r="T101" s="86">
        <f>IF(R$18&lt;&gt;0,S101-R101,0)</f>
        <v>0</v>
      </c>
      <c r="U101" s="239">
        <f>IF(I$6&lt;&gt;0,I101,0)+IF(L$6&lt;&gt;0,L101,0)+IF(O$6&lt;&gt;0,O101,0)+IF(R$6&lt;&gt;0,R101,0)</f>
        <v>0</v>
      </c>
      <c r="V101" s="337">
        <f>SUM(IF(I$6&lt;&gt;0,J101,0)+IF(L$6&lt;&gt;0,M101,0)+IF(O$6&lt;&gt;0,P101,0)+IF(R$6&lt;&gt;0,S101,0))</f>
        <v>0</v>
      </c>
      <c r="W101" s="337">
        <f>V101-U101</f>
        <v>0</v>
      </c>
      <c r="X101" s="337">
        <f>'4.) Yearly Budget'!W101</f>
        <v>0</v>
      </c>
      <c r="Y101" s="338">
        <f>IF(U101&lt;&gt;0,X101-U101,IF(U101=0,X101,0))</f>
        <v>0</v>
      </c>
      <c r="Z101" s="339">
        <f>SUM(IF(I$18&lt;&gt;0,'4.) Yearly Budget'!J101,0)+IF(L$18&lt;&gt;0,'4.) Yearly Budget'!M101,0)+IF(O$18&lt;&gt;0,'4.) Yearly Budget'!P101,0)+IF(R$18&lt;&gt;0,'4.) Yearly Budget'!S101,0))</f>
        <v>0</v>
      </c>
      <c r="AA101" s="339">
        <f>Z101-U101</f>
        <v>0</v>
      </c>
      <c r="AB101" s="339">
        <f>'4.) Yearly Budget'!V101</f>
        <v>0</v>
      </c>
      <c r="AC101" s="340">
        <f>IF(U101&lt;&gt;0,AB101-U101,IF(U101=0,AB101,0))</f>
        <v>0</v>
      </c>
      <c r="AD101" s="339">
        <f>IF(U$6&lt;&gt;0,'4.) Yearly Budget'!I101/$AM$18,0)</f>
        <v>0</v>
      </c>
      <c r="AE101" s="86">
        <f>AD101-U101</f>
        <v>0</v>
      </c>
      <c r="AF101" s="253"/>
    </row>
    <row r="102" spans="1:32" s="53" customFormat="1">
      <c r="A102" s="221">
        <f t="shared" si="31"/>
        <v>102</v>
      </c>
      <c r="B102" s="77"/>
      <c r="D102" s="33" t="s">
        <v>69</v>
      </c>
      <c r="E102" s="41"/>
      <c r="F102" s="41"/>
      <c r="G102" s="547"/>
      <c r="H102" s="76"/>
      <c r="I102" s="238"/>
      <c r="J102" s="83">
        <f>IF('4.) Yearly Budget'!$K$18&gt;0,'4.) Yearly Budget'!K102,'4.) Yearly Budget'!J102)</f>
        <v>0</v>
      </c>
      <c r="K102" s="340">
        <f>IF(I$18&lt;&gt;0,J102-I102,0)</f>
        <v>0</v>
      </c>
      <c r="L102" s="81"/>
      <c r="M102" s="83">
        <f>IF('4.) Yearly Budget'!$N$18&gt;0,'4.) Yearly Budget'!N102,'4.) Yearly Budget'!M102)</f>
        <v>0</v>
      </c>
      <c r="N102" s="340">
        <f>IF(L$18&lt;&gt;0,M102-L102,0)</f>
        <v>0</v>
      </c>
      <c r="O102" s="81"/>
      <c r="P102" s="83">
        <f>IF('4.) Yearly Budget'!$Q$18&gt;0,'4.) Yearly Budget'!Q102,'4.) Yearly Budget'!P102)</f>
        <v>0</v>
      </c>
      <c r="Q102" s="340">
        <f>IF(O$18&lt;&gt;0,P102-O102,0)</f>
        <v>0</v>
      </c>
      <c r="R102" s="81"/>
      <c r="S102" s="83">
        <f>IF('4.) Yearly Budget'!$T$18&gt;0,'4.) Yearly Budget'!T102,'4.) Yearly Budget'!S102)</f>
        <v>0</v>
      </c>
      <c r="T102" s="86">
        <f>IF(R$18&lt;&gt;0,S102-R102,0)</f>
        <v>0</v>
      </c>
      <c r="U102" s="239">
        <f>IF(I$6&lt;&gt;0,I102,0)+IF(L$6&lt;&gt;0,L102,0)+IF(O$6&lt;&gt;0,O102,0)+IF(R$6&lt;&gt;0,R102,0)</f>
        <v>0</v>
      </c>
      <c r="V102" s="337">
        <f>SUM(IF(I$6&lt;&gt;0,J102,0)+IF(L$6&lt;&gt;0,M102,0)+IF(O$6&lt;&gt;0,P102,0)+IF(R$6&lt;&gt;0,S102,0))</f>
        <v>0</v>
      </c>
      <c r="W102" s="337">
        <f>V102-U102</f>
        <v>0</v>
      </c>
      <c r="X102" s="337">
        <f>'4.) Yearly Budget'!W102</f>
        <v>0</v>
      </c>
      <c r="Y102" s="338">
        <f>IF(U102&lt;&gt;0,X102-U102,IF(U102=0,X102,0))</f>
        <v>0</v>
      </c>
      <c r="Z102" s="339">
        <f>SUM(IF(I$18&lt;&gt;0,'4.) Yearly Budget'!J102,0)+IF(L$18&lt;&gt;0,'4.) Yearly Budget'!M102,0)+IF(O$18&lt;&gt;0,'4.) Yearly Budget'!P102,0)+IF(R$18&lt;&gt;0,'4.) Yearly Budget'!S102,0))</f>
        <v>0</v>
      </c>
      <c r="AA102" s="339">
        <f>Z102-U102</f>
        <v>0</v>
      </c>
      <c r="AB102" s="339">
        <f>'4.) Yearly Budget'!V102</f>
        <v>0</v>
      </c>
      <c r="AC102" s="340">
        <f>IF(U102&lt;&gt;0,AB102-U102,IF(U102=0,AB102,0))</f>
        <v>0</v>
      </c>
      <c r="AD102" s="339">
        <f>IF(U$6&lt;&gt;0,'4.) Yearly Budget'!I102/$AM$18,0)</f>
        <v>0</v>
      </c>
      <c r="AE102" s="86">
        <f>AD102-U102</f>
        <v>0</v>
      </c>
      <c r="AF102" s="253"/>
    </row>
    <row r="103" spans="1:32" s="53" customFormat="1" ht="17.25">
      <c r="A103" s="221">
        <f t="shared" si="31"/>
        <v>103</v>
      </c>
      <c r="B103" s="77"/>
      <c r="D103" s="45" t="s">
        <v>58</v>
      </c>
      <c r="E103" s="41"/>
      <c r="F103" s="41"/>
      <c r="G103" s="547"/>
      <c r="H103" s="76"/>
      <c r="I103" s="246"/>
      <c r="J103" s="499">
        <f>IF('4.) Yearly Budget'!$K$18&gt;0,'4.) Yearly Budget'!K103,'4.) Yearly Budget'!J103)</f>
        <v>0</v>
      </c>
      <c r="K103" s="350">
        <f>IF(I$18&lt;&gt;0,J103-I103,0)</f>
        <v>0</v>
      </c>
      <c r="L103" s="87"/>
      <c r="M103" s="499">
        <f>IF('4.) Yearly Budget'!$N$18&gt;0,'4.) Yearly Budget'!N103,'4.) Yearly Budget'!M103)</f>
        <v>0</v>
      </c>
      <c r="N103" s="350">
        <f>IF(L$18&lt;&gt;0,M103-L103,0)</f>
        <v>0</v>
      </c>
      <c r="O103" s="87"/>
      <c r="P103" s="499">
        <f>IF('4.) Yearly Budget'!$Q$18&gt;0,'4.) Yearly Budget'!Q103,'4.) Yearly Budget'!P103)</f>
        <v>0</v>
      </c>
      <c r="Q103" s="350">
        <f>IF(O$18&lt;&gt;0,P103-O103,0)</f>
        <v>0</v>
      </c>
      <c r="R103" s="87"/>
      <c r="S103" s="499">
        <f>IF('4.) Yearly Budget'!$T$18&gt;0,'4.) Yearly Budget'!T103,'4.) Yearly Budget'!S103)</f>
        <v>0</v>
      </c>
      <c r="T103" s="346">
        <f>IF(R$18&lt;&gt;0,S103-R103,0)</f>
        <v>0</v>
      </c>
      <c r="U103" s="247">
        <f>IF(I$6&lt;&gt;0,I103,0)+IF(L$6&lt;&gt;0,L103,0)+IF(O$6&lt;&gt;0,O103,0)+IF(R$6&lt;&gt;0,R103,0)</f>
        <v>0</v>
      </c>
      <c r="V103" s="347">
        <f>SUM(IF(I$6&lt;&gt;0,J103,0)+IF(L$6&lt;&gt;0,M103,0)+IF(O$6&lt;&gt;0,P103,0)+IF(R$6&lt;&gt;0,S103,0))</f>
        <v>0</v>
      </c>
      <c r="W103" s="347">
        <f>V103-U103</f>
        <v>0</v>
      </c>
      <c r="X103" s="347">
        <f>'4.) Yearly Budget'!W103</f>
        <v>0</v>
      </c>
      <c r="Y103" s="348">
        <f>IF(U103&lt;&gt;0,X103-U103,IF(U103=0,X103,0))</f>
        <v>0</v>
      </c>
      <c r="Z103" s="349">
        <f>SUM(IF(I$18&lt;&gt;0,'4.) Yearly Budget'!J103,0)+IF(L$18&lt;&gt;0,'4.) Yearly Budget'!M103,0)+IF(O$18&lt;&gt;0,'4.) Yearly Budget'!P103,0)+IF(R$18&lt;&gt;0,'4.) Yearly Budget'!S103,0))</f>
        <v>0</v>
      </c>
      <c r="AA103" s="349">
        <f>Z103-U103</f>
        <v>0</v>
      </c>
      <c r="AB103" s="349">
        <f>'4.) Yearly Budget'!V103</f>
        <v>0</v>
      </c>
      <c r="AC103" s="350">
        <f>IF(U103&lt;&gt;0,AB103-U103,IF(U103=0,AB103,0))</f>
        <v>0</v>
      </c>
      <c r="AD103" s="349">
        <f>IF(U$6&lt;&gt;0,'4.) Yearly Budget'!I103/$AM$18,0)</f>
        <v>0</v>
      </c>
      <c r="AE103" s="346">
        <f>AD103-U103</f>
        <v>0</v>
      </c>
      <c r="AF103" s="253"/>
    </row>
    <row r="104" spans="1:32" s="53" customFormat="1">
      <c r="A104" s="221">
        <f t="shared" si="31"/>
        <v>104</v>
      </c>
      <c r="B104" s="77"/>
      <c r="C104" s="46" t="s">
        <v>83</v>
      </c>
      <c r="D104" s="41"/>
      <c r="E104" s="41"/>
      <c r="F104" s="41"/>
      <c r="G104" s="547"/>
      <c r="H104" s="76"/>
      <c r="I104" s="243">
        <f t="shared" ref="I104:AE104" si="58">SUM(I101:I103)</f>
        <v>0</v>
      </c>
      <c r="J104" s="133">
        <f t="shared" si="58"/>
        <v>0</v>
      </c>
      <c r="K104" s="351">
        <f t="shared" si="58"/>
        <v>0</v>
      </c>
      <c r="L104" s="83">
        <f t="shared" si="58"/>
        <v>0</v>
      </c>
      <c r="M104" s="133">
        <f t="shared" si="58"/>
        <v>0</v>
      </c>
      <c r="N104" s="351">
        <f t="shared" si="58"/>
        <v>0</v>
      </c>
      <c r="O104" s="83">
        <f t="shared" si="58"/>
        <v>0</v>
      </c>
      <c r="P104" s="133">
        <f t="shared" si="58"/>
        <v>0</v>
      </c>
      <c r="Q104" s="351">
        <f t="shared" si="58"/>
        <v>0</v>
      </c>
      <c r="R104" s="83">
        <f t="shared" si="58"/>
        <v>0</v>
      </c>
      <c r="S104" s="133">
        <f t="shared" si="58"/>
        <v>0</v>
      </c>
      <c r="T104" s="84">
        <f t="shared" si="58"/>
        <v>0</v>
      </c>
      <c r="U104" s="239">
        <f t="shared" si="58"/>
        <v>0</v>
      </c>
      <c r="V104" s="133">
        <f t="shared" si="58"/>
        <v>0</v>
      </c>
      <c r="W104" s="133">
        <f t="shared" si="58"/>
        <v>0</v>
      </c>
      <c r="X104" s="133">
        <f t="shared" si="58"/>
        <v>0</v>
      </c>
      <c r="Y104" s="341">
        <f t="shared" si="58"/>
        <v>0</v>
      </c>
      <c r="Z104" s="83">
        <f t="shared" si="58"/>
        <v>0</v>
      </c>
      <c r="AA104" s="83">
        <f t="shared" si="58"/>
        <v>0</v>
      </c>
      <c r="AB104" s="83">
        <f t="shared" si="58"/>
        <v>0</v>
      </c>
      <c r="AC104" s="351">
        <f t="shared" si="58"/>
        <v>0</v>
      </c>
      <c r="AD104" s="83">
        <f t="shared" si="58"/>
        <v>0</v>
      </c>
      <c r="AE104" s="86">
        <f t="shared" si="58"/>
        <v>0</v>
      </c>
      <c r="AF104" s="253"/>
    </row>
    <row r="105" spans="1:32" s="53" customFormat="1" ht="7.5" customHeight="1">
      <c r="A105" s="221">
        <f t="shared" si="31"/>
        <v>105</v>
      </c>
      <c r="B105" s="77"/>
      <c r="D105" s="33"/>
      <c r="E105" s="33"/>
      <c r="F105" s="33"/>
      <c r="G105" s="545"/>
      <c r="H105" s="76"/>
      <c r="I105" s="85"/>
      <c r="J105" s="85"/>
      <c r="K105" s="85"/>
      <c r="L105" s="85"/>
      <c r="M105" s="85"/>
      <c r="N105" s="85"/>
      <c r="O105" s="85"/>
      <c r="P105" s="85"/>
      <c r="Q105" s="85"/>
      <c r="R105" s="85"/>
      <c r="S105" s="85"/>
      <c r="T105" s="86"/>
      <c r="U105" s="88"/>
      <c r="V105" s="88"/>
      <c r="W105" s="88"/>
      <c r="X105" s="88"/>
      <c r="Y105" s="88"/>
      <c r="Z105" s="88"/>
      <c r="AA105" s="88"/>
      <c r="AB105" s="88"/>
      <c r="AC105" s="88"/>
      <c r="AD105" s="88"/>
      <c r="AE105" s="89"/>
      <c r="AF105" s="253"/>
    </row>
    <row r="106" spans="1:32" s="53" customFormat="1">
      <c r="A106" s="221">
        <f t="shared" si="31"/>
        <v>106</v>
      </c>
      <c r="B106" s="77"/>
      <c r="C106" s="50" t="s">
        <v>84</v>
      </c>
      <c r="D106" s="41"/>
      <c r="E106" s="41"/>
      <c r="F106" s="41"/>
      <c r="G106" s="548">
        <f>G98</f>
        <v>0</v>
      </c>
      <c r="H106" s="76"/>
      <c r="I106" s="243">
        <f t="shared" ref="I106:AE106" si="59">I98+I104</f>
        <v>0</v>
      </c>
      <c r="J106" s="133">
        <f t="shared" si="59"/>
        <v>0</v>
      </c>
      <c r="K106" s="351">
        <f t="shared" si="59"/>
        <v>0</v>
      </c>
      <c r="L106" s="83">
        <f t="shared" si="59"/>
        <v>0</v>
      </c>
      <c r="M106" s="133">
        <f t="shared" si="59"/>
        <v>0</v>
      </c>
      <c r="N106" s="351">
        <f t="shared" si="59"/>
        <v>0</v>
      </c>
      <c r="O106" s="83">
        <f t="shared" si="59"/>
        <v>0</v>
      </c>
      <c r="P106" s="133">
        <f t="shared" si="59"/>
        <v>0</v>
      </c>
      <c r="Q106" s="351">
        <f t="shared" si="59"/>
        <v>0</v>
      </c>
      <c r="R106" s="83">
        <f t="shared" si="59"/>
        <v>0</v>
      </c>
      <c r="S106" s="133">
        <f t="shared" si="59"/>
        <v>0</v>
      </c>
      <c r="T106" s="84">
        <f t="shared" si="59"/>
        <v>0</v>
      </c>
      <c r="U106" s="239">
        <f t="shared" si="59"/>
        <v>0</v>
      </c>
      <c r="V106" s="133">
        <f t="shared" si="59"/>
        <v>0</v>
      </c>
      <c r="W106" s="133">
        <f t="shared" si="59"/>
        <v>0</v>
      </c>
      <c r="X106" s="133">
        <f t="shared" si="59"/>
        <v>0</v>
      </c>
      <c r="Y106" s="341">
        <f t="shared" si="59"/>
        <v>0</v>
      </c>
      <c r="Z106" s="83">
        <f t="shared" si="59"/>
        <v>0</v>
      </c>
      <c r="AA106" s="83">
        <f t="shared" si="59"/>
        <v>0</v>
      </c>
      <c r="AB106" s="83">
        <f t="shared" si="59"/>
        <v>0</v>
      </c>
      <c r="AC106" s="351">
        <f t="shared" si="59"/>
        <v>0</v>
      </c>
      <c r="AD106" s="83">
        <f t="shared" si="59"/>
        <v>0</v>
      </c>
      <c r="AE106" s="86">
        <f t="shared" si="59"/>
        <v>0</v>
      </c>
      <c r="AF106" s="253"/>
    </row>
    <row r="107" spans="1:32" s="53" customFormat="1" ht="7.5" customHeight="1">
      <c r="A107" s="221">
        <f t="shared" si="31"/>
        <v>107</v>
      </c>
      <c r="B107" s="77"/>
      <c r="E107" s="33"/>
      <c r="F107" s="33"/>
      <c r="G107" s="47"/>
      <c r="H107" s="76"/>
      <c r="I107" s="88"/>
      <c r="J107" s="88"/>
      <c r="K107" s="88"/>
      <c r="L107" s="88"/>
      <c r="M107" s="88"/>
      <c r="N107" s="88"/>
      <c r="O107" s="88"/>
      <c r="P107" s="88"/>
      <c r="Q107" s="88"/>
      <c r="R107" s="88"/>
      <c r="S107" s="88"/>
      <c r="T107" s="89"/>
      <c r="U107" s="88"/>
      <c r="V107" s="88"/>
      <c r="W107" s="88"/>
      <c r="X107" s="88"/>
      <c r="Y107" s="88"/>
      <c r="Z107" s="88"/>
      <c r="AA107" s="88"/>
      <c r="AB107" s="88"/>
      <c r="AC107" s="88"/>
      <c r="AD107" s="88"/>
      <c r="AE107" s="89"/>
      <c r="AF107" s="253"/>
    </row>
    <row r="108" spans="1:32" s="53" customFormat="1">
      <c r="A108" s="221">
        <f t="shared" si="31"/>
        <v>108</v>
      </c>
      <c r="B108" s="77"/>
      <c r="C108" s="100" t="s">
        <v>85</v>
      </c>
      <c r="E108" s="33"/>
      <c r="F108" s="33"/>
      <c r="G108" s="47"/>
      <c r="H108" s="76"/>
      <c r="I108" s="79"/>
      <c r="J108" s="79"/>
      <c r="K108" s="79"/>
      <c r="L108" s="79"/>
      <c r="M108" s="79"/>
      <c r="N108" s="79"/>
      <c r="O108" s="79"/>
      <c r="P108" s="79"/>
      <c r="Q108" s="79"/>
      <c r="R108" s="79"/>
      <c r="S108" s="79"/>
      <c r="T108" s="80"/>
      <c r="U108" s="76"/>
      <c r="V108" s="76"/>
      <c r="W108" s="76"/>
      <c r="X108" s="76"/>
      <c r="Y108" s="76"/>
      <c r="Z108" s="76"/>
      <c r="AA108" s="76"/>
      <c r="AB108" s="76"/>
      <c r="AC108" s="76"/>
      <c r="AD108" s="76"/>
      <c r="AE108" s="99"/>
      <c r="AF108" s="253"/>
    </row>
    <row r="109" spans="1:32" s="53" customFormat="1">
      <c r="A109" s="221">
        <f t="shared" si="31"/>
        <v>109</v>
      </c>
      <c r="B109" s="77"/>
      <c r="D109" s="41" t="s">
        <v>65</v>
      </c>
      <c r="E109" s="33"/>
      <c r="F109" s="33"/>
      <c r="G109" s="47"/>
      <c r="H109" s="76"/>
      <c r="I109" s="238"/>
      <c r="J109" s="83">
        <f>IF('4.) Yearly Budget'!$K$18&gt;0,'4.) Yearly Budget'!K109,'4.) Yearly Budget'!J109)</f>
        <v>0</v>
      </c>
      <c r="K109" s="340">
        <f t="shared" ref="K109:K117" si="60">IF(I$18&lt;&gt;0,J109-I109,0)</f>
        <v>0</v>
      </c>
      <c r="L109" s="81"/>
      <c r="M109" s="83">
        <f>IF('4.) Yearly Budget'!$N$18&gt;0,'4.) Yearly Budget'!N109,'4.) Yearly Budget'!M109)</f>
        <v>0</v>
      </c>
      <c r="N109" s="340">
        <f t="shared" ref="N109:N117" si="61">IF(L$18&lt;&gt;0,M109-L109,0)</f>
        <v>0</v>
      </c>
      <c r="O109" s="81"/>
      <c r="P109" s="83">
        <f>IF('4.) Yearly Budget'!$Q$18&gt;0,'4.) Yearly Budget'!Q109,'4.) Yearly Budget'!P109)</f>
        <v>0</v>
      </c>
      <c r="Q109" s="340">
        <f t="shared" ref="Q109:Q117" si="62">IF(O$18&lt;&gt;0,P109-O109,0)</f>
        <v>0</v>
      </c>
      <c r="R109" s="81"/>
      <c r="S109" s="83">
        <f>IF('4.) Yearly Budget'!$T$18&gt;0,'4.) Yearly Budget'!T109,'4.) Yearly Budget'!S109)</f>
        <v>0</v>
      </c>
      <c r="T109" s="86">
        <f t="shared" ref="T109:T117" si="63">IF(R$18&lt;&gt;0,S109-R109,0)</f>
        <v>0</v>
      </c>
      <c r="U109" s="239">
        <f t="shared" ref="U109:U117" si="64">IF(I$6&lt;&gt;0,I109,0)+IF(L$6&lt;&gt;0,L109,0)+IF(O$6&lt;&gt;0,O109,0)+IF(R$6&lt;&gt;0,R109,0)</f>
        <v>0</v>
      </c>
      <c r="V109" s="337">
        <f t="shared" ref="V109:V117" si="65">SUM(IF(I$6&lt;&gt;0,J109,0)+IF(L$6&lt;&gt;0,M109,0)+IF(O$6&lt;&gt;0,P109,0)+IF(R$6&lt;&gt;0,S109,0))</f>
        <v>0</v>
      </c>
      <c r="W109" s="337">
        <f t="shared" ref="W109:W117" si="66">V109-U109</f>
        <v>0</v>
      </c>
      <c r="X109" s="337">
        <f>'4.) Yearly Budget'!W109</f>
        <v>0</v>
      </c>
      <c r="Y109" s="338">
        <f t="shared" ref="Y109:Y117" si="67">IF(U109&lt;&gt;0,X109-U109,IF(U109=0,X109,0))</f>
        <v>0</v>
      </c>
      <c r="Z109" s="339">
        <f>SUM(IF(I$18&lt;&gt;0,'4.) Yearly Budget'!J109,0)+IF(L$18&lt;&gt;0,'4.) Yearly Budget'!M109,0)+IF(O$18&lt;&gt;0,'4.) Yearly Budget'!P109,0)+IF(R$18&lt;&gt;0,'4.) Yearly Budget'!S109,0))</f>
        <v>0</v>
      </c>
      <c r="AA109" s="339">
        <f t="shared" ref="AA109:AA117" si="68">Z109-U109</f>
        <v>0</v>
      </c>
      <c r="AB109" s="339">
        <f>'4.) Yearly Budget'!V109</f>
        <v>0</v>
      </c>
      <c r="AC109" s="340">
        <f t="shared" ref="AC109:AC117" si="69">IF(U109&lt;&gt;0,AB109-U109,IF(U109=0,AB109,0))</f>
        <v>0</v>
      </c>
      <c r="AD109" s="339">
        <f>IF(U$6&lt;&gt;0,'4.) Yearly Budget'!I109/$AM$18,0)</f>
        <v>0</v>
      </c>
      <c r="AE109" s="86">
        <f t="shared" ref="AE109:AE117" si="70">AD109-U109</f>
        <v>0</v>
      </c>
      <c r="AF109" s="253"/>
    </row>
    <row r="110" spans="1:32" s="53" customFormat="1">
      <c r="A110" s="221">
        <f t="shared" si="31"/>
        <v>110</v>
      </c>
      <c r="B110" s="77"/>
      <c r="D110" s="45" t="s">
        <v>5</v>
      </c>
      <c r="E110" s="33"/>
      <c r="F110" s="33"/>
      <c r="G110" s="47"/>
      <c r="H110" s="76"/>
      <c r="I110" s="238"/>
      <c r="J110" s="83">
        <f>IF('4.) Yearly Budget'!$K$18&gt;0,'4.) Yearly Budget'!K110,'4.) Yearly Budget'!J110)</f>
        <v>0</v>
      </c>
      <c r="K110" s="340">
        <f t="shared" si="60"/>
        <v>0</v>
      </c>
      <c r="L110" s="81"/>
      <c r="M110" s="83">
        <f>IF('4.) Yearly Budget'!$N$18&gt;0,'4.) Yearly Budget'!N110,'4.) Yearly Budget'!M110)</f>
        <v>0</v>
      </c>
      <c r="N110" s="340">
        <f t="shared" si="61"/>
        <v>0</v>
      </c>
      <c r="O110" s="81"/>
      <c r="P110" s="83">
        <f>IF('4.) Yearly Budget'!$Q$18&gt;0,'4.) Yearly Budget'!Q110,'4.) Yearly Budget'!P110)</f>
        <v>0</v>
      </c>
      <c r="Q110" s="340">
        <f t="shared" si="62"/>
        <v>0</v>
      </c>
      <c r="R110" s="81"/>
      <c r="S110" s="83">
        <f>IF('4.) Yearly Budget'!$T$18&gt;0,'4.) Yearly Budget'!T110,'4.) Yearly Budget'!S110)</f>
        <v>0</v>
      </c>
      <c r="T110" s="86">
        <f t="shared" si="63"/>
        <v>0</v>
      </c>
      <c r="U110" s="239">
        <f t="shared" si="64"/>
        <v>0</v>
      </c>
      <c r="V110" s="337">
        <f t="shared" si="65"/>
        <v>0</v>
      </c>
      <c r="W110" s="337">
        <f t="shared" si="66"/>
        <v>0</v>
      </c>
      <c r="X110" s="337">
        <f>'4.) Yearly Budget'!W110</f>
        <v>0</v>
      </c>
      <c r="Y110" s="338">
        <f t="shared" si="67"/>
        <v>0</v>
      </c>
      <c r="Z110" s="339">
        <f>SUM(IF(I$18&lt;&gt;0,'4.) Yearly Budget'!J110,0)+IF(L$18&lt;&gt;0,'4.) Yearly Budget'!M110,0)+IF(O$18&lt;&gt;0,'4.) Yearly Budget'!P110,0)+IF(R$18&lt;&gt;0,'4.) Yearly Budget'!S110,0))</f>
        <v>0</v>
      </c>
      <c r="AA110" s="339">
        <f t="shared" si="68"/>
        <v>0</v>
      </c>
      <c r="AB110" s="339">
        <f>'4.) Yearly Budget'!V110</f>
        <v>0</v>
      </c>
      <c r="AC110" s="340">
        <f t="shared" si="69"/>
        <v>0</v>
      </c>
      <c r="AD110" s="339">
        <f>IF(U$6&lt;&gt;0,'4.) Yearly Budget'!I110/$AM$18,0)</f>
        <v>0</v>
      </c>
      <c r="AE110" s="86">
        <f t="shared" si="70"/>
        <v>0</v>
      </c>
      <c r="AF110" s="253"/>
    </row>
    <row r="111" spans="1:32" s="53" customFormat="1">
      <c r="A111" s="221">
        <f t="shared" si="31"/>
        <v>111</v>
      </c>
      <c r="B111" s="77"/>
      <c r="D111" s="45" t="s">
        <v>66</v>
      </c>
      <c r="E111" s="33"/>
      <c r="F111" s="33"/>
      <c r="G111" s="47"/>
      <c r="H111" s="76"/>
      <c r="I111" s="238"/>
      <c r="J111" s="83">
        <f>IF('4.) Yearly Budget'!$K$18&gt;0,'4.) Yearly Budget'!K111,'4.) Yearly Budget'!J111)</f>
        <v>0</v>
      </c>
      <c r="K111" s="340">
        <f t="shared" si="60"/>
        <v>0</v>
      </c>
      <c r="L111" s="81"/>
      <c r="M111" s="83">
        <f>IF('4.) Yearly Budget'!$N$18&gt;0,'4.) Yearly Budget'!N111,'4.) Yearly Budget'!M111)</f>
        <v>0</v>
      </c>
      <c r="N111" s="340">
        <f t="shared" si="61"/>
        <v>0</v>
      </c>
      <c r="O111" s="81"/>
      <c r="P111" s="83">
        <f>IF('4.) Yearly Budget'!$Q$18&gt;0,'4.) Yearly Budget'!Q111,'4.) Yearly Budget'!P111)</f>
        <v>0</v>
      </c>
      <c r="Q111" s="340">
        <f t="shared" si="62"/>
        <v>0</v>
      </c>
      <c r="R111" s="81"/>
      <c r="S111" s="83">
        <f>IF('4.) Yearly Budget'!$T$18&gt;0,'4.) Yearly Budget'!T111,'4.) Yearly Budget'!S111)</f>
        <v>0</v>
      </c>
      <c r="T111" s="86">
        <f t="shared" si="63"/>
        <v>0</v>
      </c>
      <c r="U111" s="239">
        <f t="shared" si="64"/>
        <v>0</v>
      </c>
      <c r="V111" s="337">
        <f t="shared" si="65"/>
        <v>0</v>
      </c>
      <c r="W111" s="337">
        <f t="shared" si="66"/>
        <v>0</v>
      </c>
      <c r="X111" s="337">
        <f>'4.) Yearly Budget'!W111</f>
        <v>0</v>
      </c>
      <c r="Y111" s="338">
        <f t="shared" si="67"/>
        <v>0</v>
      </c>
      <c r="Z111" s="339">
        <f>SUM(IF(I$18&lt;&gt;0,'4.) Yearly Budget'!J111,0)+IF(L$18&lt;&gt;0,'4.) Yearly Budget'!M111,0)+IF(O$18&lt;&gt;0,'4.) Yearly Budget'!P111,0)+IF(R$18&lt;&gt;0,'4.) Yearly Budget'!S111,0))</f>
        <v>0</v>
      </c>
      <c r="AA111" s="339">
        <f t="shared" si="68"/>
        <v>0</v>
      </c>
      <c r="AB111" s="339">
        <f>'4.) Yearly Budget'!V111</f>
        <v>0</v>
      </c>
      <c r="AC111" s="340">
        <f t="shared" si="69"/>
        <v>0</v>
      </c>
      <c r="AD111" s="339">
        <f>IF(U$6&lt;&gt;0,'4.) Yearly Budget'!I111/$AM$18,0)</f>
        <v>0</v>
      </c>
      <c r="AE111" s="86">
        <f t="shared" si="70"/>
        <v>0</v>
      </c>
      <c r="AF111" s="253"/>
    </row>
    <row r="112" spans="1:32" s="53" customFormat="1">
      <c r="A112" s="221">
        <f t="shared" si="31"/>
        <v>112</v>
      </c>
      <c r="B112" s="77"/>
      <c r="D112" s="45" t="s">
        <v>15</v>
      </c>
      <c r="E112" s="33"/>
      <c r="F112" s="33"/>
      <c r="G112" s="47"/>
      <c r="H112" s="76"/>
      <c r="I112" s="238"/>
      <c r="J112" s="83">
        <f>IF('4.) Yearly Budget'!$K$18&gt;0,'4.) Yearly Budget'!K112,'4.) Yearly Budget'!J112)</f>
        <v>0</v>
      </c>
      <c r="K112" s="340">
        <f t="shared" si="60"/>
        <v>0</v>
      </c>
      <c r="L112" s="81"/>
      <c r="M112" s="83">
        <f>IF('4.) Yearly Budget'!$N$18&gt;0,'4.) Yearly Budget'!N112,'4.) Yearly Budget'!M112)</f>
        <v>0</v>
      </c>
      <c r="N112" s="340">
        <f t="shared" si="61"/>
        <v>0</v>
      </c>
      <c r="O112" s="81"/>
      <c r="P112" s="83">
        <f>IF('4.) Yearly Budget'!$Q$18&gt;0,'4.) Yearly Budget'!Q112,'4.) Yearly Budget'!P112)</f>
        <v>0</v>
      </c>
      <c r="Q112" s="340">
        <f t="shared" si="62"/>
        <v>0</v>
      </c>
      <c r="R112" s="81"/>
      <c r="S112" s="83">
        <f>IF('4.) Yearly Budget'!$T$18&gt;0,'4.) Yearly Budget'!T112,'4.) Yearly Budget'!S112)</f>
        <v>0</v>
      </c>
      <c r="T112" s="86">
        <f t="shared" si="63"/>
        <v>0</v>
      </c>
      <c r="U112" s="239">
        <f t="shared" si="64"/>
        <v>0</v>
      </c>
      <c r="V112" s="337">
        <f t="shared" si="65"/>
        <v>0</v>
      </c>
      <c r="W112" s="337">
        <f t="shared" si="66"/>
        <v>0</v>
      </c>
      <c r="X112" s="337">
        <f>'4.) Yearly Budget'!W112</f>
        <v>0</v>
      </c>
      <c r="Y112" s="338">
        <f t="shared" si="67"/>
        <v>0</v>
      </c>
      <c r="Z112" s="339">
        <f>SUM(IF(I$18&lt;&gt;0,'4.) Yearly Budget'!J112,0)+IF(L$18&lt;&gt;0,'4.) Yearly Budget'!M112,0)+IF(O$18&lt;&gt;0,'4.) Yearly Budget'!P112,0)+IF(R$18&lt;&gt;0,'4.) Yearly Budget'!S112,0))</f>
        <v>0</v>
      </c>
      <c r="AA112" s="339">
        <f t="shared" si="68"/>
        <v>0</v>
      </c>
      <c r="AB112" s="339">
        <f>'4.) Yearly Budget'!V112</f>
        <v>0</v>
      </c>
      <c r="AC112" s="340">
        <f t="shared" si="69"/>
        <v>0</v>
      </c>
      <c r="AD112" s="339">
        <f>IF(U$6&lt;&gt;0,'4.) Yearly Budget'!I112/$AM$18,0)</f>
        <v>0</v>
      </c>
      <c r="AE112" s="86">
        <f t="shared" si="70"/>
        <v>0</v>
      </c>
      <c r="AF112" s="253"/>
    </row>
    <row r="113" spans="1:32" s="53" customFormat="1">
      <c r="A113" s="221">
        <f t="shared" si="31"/>
        <v>113</v>
      </c>
      <c r="B113" s="77"/>
      <c r="D113" s="45" t="s">
        <v>57</v>
      </c>
      <c r="E113" s="33"/>
      <c r="F113" s="33"/>
      <c r="G113" s="47"/>
      <c r="H113" s="76"/>
      <c r="I113" s="238"/>
      <c r="J113" s="83">
        <f>IF('4.) Yearly Budget'!$K$18&gt;0,'4.) Yearly Budget'!K113,'4.) Yearly Budget'!J113)</f>
        <v>0</v>
      </c>
      <c r="K113" s="340">
        <f t="shared" si="60"/>
        <v>0</v>
      </c>
      <c r="L113" s="81"/>
      <c r="M113" s="83">
        <f>IF('4.) Yearly Budget'!$N$18&gt;0,'4.) Yearly Budget'!N113,'4.) Yearly Budget'!M113)</f>
        <v>0</v>
      </c>
      <c r="N113" s="340">
        <f t="shared" si="61"/>
        <v>0</v>
      </c>
      <c r="O113" s="81"/>
      <c r="P113" s="83">
        <f>IF('4.) Yearly Budget'!$Q$18&gt;0,'4.) Yearly Budget'!Q113,'4.) Yearly Budget'!P113)</f>
        <v>0</v>
      </c>
      <c r="Q113" s="340">
        <f t="shared" si="62"/>
        <v>0</v>
      </c>
      <c r="R113" s="81"/>
      <c r="S113" s="83">
        <f>IF('4.) Yearly Budget'!$T$18&gt;0,'4.) Yearly Budget'!T113,'4.) Yearly Budget'!S113)</f>
        <v>0</v>
      </c>
      <c r="T113" s="86">
        <f t="shared" si="63"/>
        <v>0</v>
      </c>
      <c r="U113" s="239">
        <f t="shared" si="64"/>
        <v>0</v>
      </c>
      <c r="V113" s="337">
        <f t="shared" si="65"/>
        <v>0</v>
      </c>
      <c r="W113" s="337">
        <f t="shared" si="66"/>
        <v>0</v>
      </c>
      <c r="X113" s="337">
        <f>'4.) Yearly Budget'!W113</f>
        <v>0</v>
      </c>
      <c r="Y113" s="338">
        <f t="shared" si="67"/>
        <v>0</v>
      </c>
      <c r="Z113" s="339">
        <f>SUM(IF(I$18&lt;&gt;0,'4.) Yearly Budget'!J113,0)+IF(L$18&lt;&gt;0,'4.) Yearly Budget'!M113,0)+IF(O$18&lt;&gt;0,'4.) Yearly Budget'!P113,0)+IF(R$18&lt;&gt;0,'4.) Yearly Budget'!S113,0))</f>
        <v>0</v>
      </c>
      <c r="AA113" s="339">
        <f t="shared" si="68"/>
        <v>0</v>
      </c>
      <c r="AB113" s="339">
        <f>'4.) Yearly Budget'!V113</f>
        <v>0</v>
      </c>
      <c r="AC113" s="340">
        <f t="shared" si="69"/>
        <v>0</v>
      </c>
      <c r="AD113" s="339">
        <f>IF(U$6&lt;&gt;0,'4.) Yearly Budget'!I113/$AM$18,0)</f>
        <v>0</v>
      </c>
      <c r="AE113" s="86">
        <f t="shared" si="70"/>
        <v>0</v>
      </c>
      <c r="AF113" s="253"/>
    </row>
    <row r="114" spans="1:32" s="53" customFormat="1">
      <c r="A114" s="221">
        <f t="shared" si="31"/>
        <v>114</v>
      </c>
      <c r="B114" s="77"/>
      <c r="D114" s="45" t="s">
        <v>16</v>
      </c>
      <c r="E114" s="33"/>
      <c r="F114" s="33"/>
      <c r="G114" s="47"/>
      <c r="H114" s="76"/>
      <c r="I114" s="238"/>
      <c r="J114" s="83">
        <f>IF('4.) Yearly Budget'!$K$18&gt;0,'4.) Yearly Budget'!K114,'4.) Yearly Budget'!J114)</f>
        <v>0</v>
      </c>
      <c r="K114" s="340">
        <f t="shared" si="60"/>
        <v>0</v>
      </c>
      <c r="L114" s="81"/>
      <c r="M114" s="83">
        <f>IF('4.) Yearly Budget'!$N$18&gt;0,'4.) Yearly Budget'!N114,'4.) Yearly Budget'!M114)</f>
        <v>0</v>
      </c>
      <c r="N114" s="340">
        <f t="shared" si="61"/>
        <v>0</v>
      </c>
      <c r="O114" s="81"/>
      <c r="P114" s="83">
        <f>IF('4.) Yearly Budget'!$Q$18&gt;0,'4.) Yearly Budget'!Q114,'4.) Yearly Budget'!P114)</f>
        <v>0</v>
      </c>
      <c r="Q114" s="340">
        <f t="shared" si="62"/>
        <v>0</v>
      </c>
      <c r="R114" s="81"/>
      <c r="S114" s="83">
        <f>IF('4.) Yearly Budget'!$T$18&gt;0,'4.) Yearly Budget'!T114,'4.) Yearly Budget'!S114)</f>
        <v>0</v>
      </c>
      <c r="T114" s="86">
        <f t="shared" si="63"/>
        <v>0</v>
      </c>
      <c r="U114" s="239">
        <f t="shared" si="64"/>
        <v>0</v>
      </c>
      <c r="V114" s="337">
        <f t="shared" si="65"/>
        <v>0</v>
      </c>
      <c r="W114" s="337">
        <f t="shared" si="66"/>
        <v>0</v>
      </c>
      <c r="X114" s="337">
        <f>'4.) Yearly Budget'!W114</f>
        <v>0</v>
      </c>
      <c r="Y114" s="338">
        <f t="shared" si="67"/>
        <v>0</v>
      </c>
      <c r="Z114" s="339">
        <f>SUM(IF(I$18&lt;&gt;0,'4.) Yearly Budget'!J114,0)+IF(L$18&lt;&gt;0,'4.) Yearly Budget'!M114,0)+IF(O$18&lt;&gt;0,'4.) Yearly Budget'!P114,0)+IF(R$18&lt;&gt;0,'4.) Yearly Budget'!S114,0))</f>
        <v>0</v>
      </c>
      <c r="AA114" s="339">
        <f t="shared" si="68"/>
        <v>0</v>
      </c>
      <c r="AB114" s="339">
        <f>'4.) Yearly Budget'!V114</f>
        <v>0</v>
      </c>
      <c r="AC114" s="340">
        <f t="shared" si="69"/>
        <v>0</v>
      </c>
      <c r="AD114" s="339">
        <f>IF(U$6&lt;&gt;0,'4.) Yearly Budget'!I114/$AM$18,0)</f>
        <v>0</v>
      </c>
      <c r="AE114" s="86">
        <f t="shared" si="70"/>
        <v>0</v>
      </c>
      <c r="AF114" s="253"/>
    </row>
    <row r="115" spans="1:32" s="53" customFormat="1">
      <c r="A115" s="221">
        <f t="shared" si="31"/>
        <v>115</v>
      </c>
      <c r="B115" s="77"/>
      <c r="D115" s="45" t="s">
        <v>17</v>
      </c>
      <c r="E115" s="33"/>
      <c r="F115" s="33"/>
      <c r="G115" s="47"/>
      <c r="H115" s="76"/>
      <c r="I115" s="238"/>
      <c r="J115" s="83">
        <f>IF('4.) Yearly Budget'!$K$18&gt;0,'4.) Yearly Budget'!K115,'4.) Yearly Budget'!J115)</f>
        <v>0</v>
      </c>
      <c r="K115" s="340">
        <f t="shared" si="60"/>
        <v>0</v>
      </c>
      <c r="L115" s="81"/>
      <c r="M115" s="83">
        <f>IF('4.) Yearly Budget'!$N$18&gt;0,'4.) Yearly Budget'!N115,'4.) Yearly Budget'!M115)</f>
        <v>0</v>
      </c>
      <c r="N115" s="340">
        <f t="shared" si="61"/>
        <v>0</v>
      </c>
      <c r="O115" s="81"/>
      <c r="P115" s="83">
        <f>IF('4.) Yearly Budget'!$Q$18&gt;0,'4.) Yearly Budget'!Q115,'4.) Yearly Budget'!P115)</f>
        <v>0</v>
      </c>
      <c r="Q115" s="340">
        <f t="shared" si="62"/>
        <v>0</v>
      </c>
      <c r="R115" s="81"/>
      <c r="S115" s="83">
        <f>IF('4.) Yearly Budget'!$T$18&gt;0,'4.) Yearly Budget'!T115,'4.) Yearly Budget'!S115)</f>
        <v>0</v>
      </c>
      <c r="T115" s="86">
        <f t="shared" si="63"/>
        <v>0</v>
      </c>
      <c r="U115" s="239">
        <f t="shared" si="64"/>
        <v>0</v>
      </c>
      <c r="V115" s="337">
        <f t="shared" si="65"/>
        <v>0</v>
      </c>
      <c r="W115" s="337">
        <f t="shared" si="66"/>
        <v>0</v>
      </c>
      <c r="X115" s="337">
        <f>'4.) Yearly Budget'!W115</f>
        <v>0</v>
      </c>
      <c r="Y115" s="338">
        <f t="shared" si="67"/>
        <v>0</v>
      </c>
      <c r="Z115" s="339">
        <f>SUM(IF(I$18&lt;&gt;0,'4.) Yearly Budget'!J115,0)+IF(L$18&lt;&gt;0,'4.) Yearly Budget'!M115,0)+IF(O$18&lt;&gt;0,'4.) Yearly Budget'!P115,0)+IF(R$18&lt;&gt;0,'4.) Yearly Budget'!S115,0))</f>
        <v>0</v>
      </c>
      <c r="AA115" s="339">
        <f t="shared" si="68"/>
        <v>0</v>
      </c>
      <c r="AB115" s="339">
        <f>'4.) Yearly Budget'!V115</f>
        <v>0</v>
      </c>
      <c r="AC115" s="340">
        <f t="shared" si="69"/>
        <v>0</v>
      </c>
      <c r="AD115" s="339">
        <f>IF(U$6&lt;&gt;0,'4.) Yearly Budget'!I115/$AM$18,0)</f>
        <v>0</v>
      </c>
      <c r="AE115" s="86">
        <f t="shared" si="70"/>
        <v>0</v>
      </c>
      <c r="AF115" s="253"/>
    </row>
    <row r="116" spans="1:32" s="53" customFormat="1">
      <c r="A116" s="221">
        <f t="shared" si="31"/>
        <v>116</v>
      </c>
      <c r="B116" s="77"/>
      <c r="D116" s="45" t="s">
        <v>68</v>
      </c>
      <c r="E116" s="33"/>
      <c r="F116" s="33"/>
      <c r="G116" s="47"/>
      <c r="H116" s="76"/>
      <c r="I116" s="238"/>
      <c r="J116" s="83">
        <f>IF('4.) Yearly Budget'!$K$18&gt;0,'4.) Yearly Budget'!K116,'4.) Yearly Budget'!J116)</f>
        <v>0</v>
      </c>
      <c r="K116" s="340">
        <f t="shared" si="60"/>
        <v>0</v>
      </c>
      <c r="L116" s="81"/>
      <c r="M116" s="83">
        <f>IF('4.) Yearly Budget'!$N$18&gt;0,'4.) Yearly Budget'!N116,'4.) Yearly Budget'!M116)</f>
        <v>0</v>
      </c>
      <c r="N116" s="340">
        <f t="shared" si="61"/>
        <v>0</v>
      </c>
      <c r="O116" s="81"/>
      <c r="P116" s="83">
        <f>IF('4.) Yearly Budget'!$Q$18&gt;0,'4.) Yearly Budget'!Q116,'4.) Yearly Budget'!P116)</f>
        <v>0</v>
      </c>
      <c r="Q116" s="340">
        <f t="shared" si="62"/>
        <v>0</v>
      </c>
      <c r="R116" s="81"/>
      <c r="S116" s="83">
        <f>IF('4.) Yearly Budget'!$T$18&gt;0,'4.) Yearly Budget'!T116,'4.) Yearly Budget'!S116)</f>
        <v>0</v>
      </c>
      <c r="T116" s="86">
        <f t="shared" si="63"/>
        <v>0</v>
      </c>
      <c r="U116" s="239">
        <f t="shared" si="64"/>
        <v>0</v>
      </c>
      <c r="V116" s="337">
        <f t="shared" si="65"/>
        <v>0</v>
      </c>
      <c r="W116" s="337">
        <f t="shared" si="66"/>
        <v>0</v>
      </c>
      <c r="X116" s="337">
        <f>'4.) Yearly Budget'!W116</f>
        <v>0</v>
      </c>
      <c r="Y116" s="338">
        <f t="shared" si="67"/>
        <v>0</v>
      </c>
      <c r="Z116" s="339">
        <f>SUM(IF(I$18&lt;&gt;0,'4.) Yearly Budget'!J116,0)+IF(L$18&lt;&gt;0,'4.) Yearly Budget'!M116,0)+IF(O$18&lt;&gt;0,'4.) Yearly Budget'!P116,0)+IF(R$18&lt;&gt;0,'4.) Yearly Budget'!S116,0))</f>
        <v>0</v>
      </c>
      <c r="AA116" s="339">
        <f t="shared" si="68"/>
        <v>0</v>
      </c>
      <c r="AB116" s="339">
        <f>'4.) Yearly Budget'!V116</f>
        <v>0</v>
      </c>
      <c r="AC116" s="340">
        <f t="shared" si="69"/>
        <v>0</v>
      </c>
      <c r="AD116" s="339">
        <f>IF(U$6&lt;&gt;0,'4.) Yearly Budget'!I116/$AM$18,0)</f>
        <v>0</v>
      </c>
      <c r="AE116" s="86">
        <f t="shared" si="70"/>
        <v>0</v>
      </c>
      <c r="AF116" s="253"/>
    </row>
    <row r="117" spans="1:32" s="53" customFormat="1" ht="17.25">
      <c r="A117" s="221">
        <f t="shared" si="31"/>
        <v>117</v>
      </c>
      <c r="B117" s="77"/>
      <c r="D117" s="41" t="s">
        <v>67</v>
      </c>
      <c r="E117" s="33"/>
      <c r="F117" s="33"/>
      <c r="G117" s="47"/>
      <c r="H117" s="76"/>
      <c r="I117" s="246"/>
      <c r="J117" s="499">
        <f>IF('4.) Yearly Budget'!$K$18&gt;0,'4.) Yearly Budget'!K117,'4.) Yearly Budget'!J117)</f>
        <v>0</v>
      </c>
      <c r="K117" s="350">
        <f t="shared" si="60"/>
        <v>0</v>
      </c>
      <c r="L117" s="87"/>
      <c r="M117" s="499">
        <f>IF('4.) Yearly Budget'!$N$18&gt;0,'4.) Yearly Budget'!N117,'4.) Yearly Budget'!M117)</f>
        <v>0</v>
      </c>
      <c r="N117" s="350">
        <f t="shared" si="61"/>
        <v>0</v>
      </c>
      <c r="O117" s="87"/>
      <c r="P117" s="499">
        <f>IF('4.) Yearly Budget'!$Q$18&gt;0,'4.) Yearly Budget'!Q117,'4.) Yearly Budget'!P117)</f>
        <v>0</v>
      </c>
      <c r="Q117" s="350">
        <f t="shared" si="62"/>
        <v>0</v>
      </c>
      <c r="R117" s="87"/>
      <c r="S117" s="499">
        <f>IF('4.) Yearly Budget'!$T$18&gt;0,'4.) Yearly Budget'!T117,'4.) Yearly Budget'!S117)</f>
        <v>0</v>
      </c>
      <c r="T117" s="346">
        <f t="shared" si="63"/>
        <v>0</v>
      </c>
      <c r="U117" s="247">
        <f t="shared" si="64"/>
        <v>0</v>
      </c>
      <c r="V117" s="347">
        <f t="shared" si="65"/>
        <v>0</v>
      </c>
      <c r="W117" s="347">
        <f t="shared" si="66"/>
        <v>0</v>
      </c>
      <c r="X117" s="347">
        <f>'4.) Yearly Budget'!W117</f>
        <v>0</v>
      </c>
      <c r="Y117" s="348">
        <f t="shared" si="67"/>
        <v>0</v>
      </c>
      <c r="Z117" s="349">
        <f>SUM(IF(I$18&lt;&gt;0,'4.) Yearly Budget'!J117,0)+IF(L$18&lt;&gt;0,'4.) Yearly Budget'!M117,0)+IF(O$18&lt;&gt;0,'4.) Yearly Budget'!P117,0)+IF(R$18&lt;&gt;0,'4.) Yearly Budget'!S117,0))</f>
        <v>0</v>
      </c>
      <c r="AA117" s="349">
        <f t="shared" si="68"/>
        <v>0</v>
      </c>
      <c r="AB117" s="349">
        <f>'4.) Yearly Budget'!V117</f>
        <v>0</v>
      </c>
      <c r="AC117" s="350">
        <f t="shared" si="69"/>
        <v>0</v>
      </c>
      <c r="AD117" s="349">
        <f>IF(U$6&lt;&gt;0,'4.) Yearly Budget'!I117/$AM$18,0)</f>
        <v>0</v>
      </c>
      <c r="AE117" s="346">
        <f t="shared" si="70"/>
        <v>0</v>
      </c>
      <c r="AF117" s="253"/>
    </row>
    <row r="118" spans="1:32" s="53" customFormat="1" ht="15.75" thickBot="1">
      <c r="A118" s="221">
        <f t="shared" si="31"/>
        <v>118</v>
      </c>
      <c r="B118" s="410"/>
      <c r="C118" s="411" t="s">
        <v>86</v>
      </c>
      <c r="D118" s="412"/>
      <c r="E118" s="413"/>
      <c r="F118" s="413"/>
      <c r="G118" s="414"/>
      <c r="H118" s="415"/>
      <c r="I118" s="416">
        <f t="shared" ref="I118:AE118" si="71">SUM(I109:I117)</f>
        <v>0</v>
      </c>
      <c r="J118" s="417">
        <f t="shared" si="71"/>
        <v>0</v>
      </c>
      <c r="K118" s="418">
        <f t="shared" si="71"/>
        <v>0</v>
      </c>
      <c r="L118" s="419">
        <f t="shared" si="71"/>
        <v>0</v>
      </c>
      <c r="M118" s="417">
        <f t="shared" si="71"/>
        <v>0</v>
      </c>
      <c r="N118" s="418">
        <f t="shared" si="71"/>
        <v>0</v>
      </c>
      <c r="O118" s="419">
        <f t="shared" si="71"/>
        <v>0</v>
      </c>
      <c r="P118" s="417">
        <f t="shared" si="71"/>
        <v>0</v>
      </c>
      <c r="Q118" s="418">
        <f t="shared" si="71"/>
        <v>0</v>
      </c>
      <c r="R118" s="419">
        <f t="shared" si="71"/>
        <v>0</v>
      </c>
      <c r="S118" s="417">
        <f t="shared" si="71"/>
        <v>0</v>
      </c>
      <c r="T118" s="420">
        <f t="shared" si="71"/>
        <v>0</v>
      </c>
      <c r="U118" s="421">
        <f t="shared" si="71"/>
        <v>0</v>
      </c>
      <c r="V118" s="417">
        <f t="shared" si="71"/>
        <v>0</v>
      </c>
      <c r="W118" s="417">
        <f t="shared" si="71"/>
        <v>0</v>
      </c>
      <c r="X118" s="417">
        <f t="shared" si="71"/>
        <v>0</v>
      </c>
      <c r="Y118" s="422">
        <f t="shared" si="71"/>
        <v>0</v>
      </c>
      <c r="Z118" s="419">
        <f t="shared" si="71"/>
        <v>0</v>
      </c>
      <c r="AA118" s="419">
        <f t="shared" si="71"/>
        <v>0</v>
      </c>
      <c r="AB118" s="419">
        <f t="shared" si="71"/>
        <v>0</v>
      </c>
      <c r="AC118" s="418">
        <f t="shared" si="71"/>
        <v>0</v>
      </c>
      <c r="AD118" s="419">
        <f t="shared" si="71"/>
        <v>0</v>
      </c>
      <c r="AE118" s="423">
        <f t="shared" si="71"/>
        <v>0</v>
      </c>
      <c r="AF118" s="424"/>
    </row>
    <row r="119" spans="1:32" s="53" customFormat="1" ht="7.5" customHeight="1">
      <c r="A119" s="221">
        <f t="shared" si="31"/>
        <v>119</v>
      </c>
      <c r="B119" s="77"/>
      <c r="D119" s="33"/>
      <c r="E119" s="33"/>
      <c r="F119" s="33"/>
      <c r="G119" s="47"/>
      <c r="H119" s="76"/>
      <c r="I119" s="76"/>
      <c r="J119" s="76"/>
      <c r="K119" s="76"/>
      <c r="L119" s="76"/>
      <c r="M119" s="76"/>
      <c r="N119" s="76"/>
      <c r="O119" s="76"/>
      <c r="P119" s="76"/>
      <c r="Q119" s="76"/>
      <c r="R119" s="76"/>
      <c r="S119" s="76"/>
      <c r="T119" s="99"/>
      <c r="U119" s="76"/>
      <c r="V119" s="76"/>
      <c r="W119" s="76"/>
      <c r="X119" s="76"/>
      <c r="Y119" s="76"/>
      <c r="Z119" s="76"/>
      <c r="AA119" s="76"/>
      <c r="AB119" s="76"/>
      <c r="AC119" s="76"/>
      <c r="AD119" s="76"/>
      <c r="AE119" s="99"/>
      <c r="AF119" s="253"/>
    </row>
    <row r="120" spans="1:32" s="53" customFormat="1">
      <c r="A120" s="221">
        <f t="shared" si="31"/>
        <v>120</v>
      </c>
      <c r="B120" s="77"/>
      <c r="C120" s="100" t="s">
        <v>87</v>
      </c>
      <c r="D120" s="33"/>
      <c r="E120" s="33"/>
      <c r="F120" s="33"/>
      <c r="G120" s="47"/>
      <c r="H120" s="76"/>
      <c r="I120" s="79"/>
      <c r="J120" s="79"/>
      <c r="K120" s="79"/>
      <c r="L120" s="79"/>
      <c r="M120" s="79"/>
      <c r="N120" s="79"/>
      <c r="O120" s="79"/>
      <c r="P120" s="79"/>
      <c r="Q120" s="79"/>
      <c r="R120" s="79"/>
      <c r="S120" s="79"/>
      <c r="T120" s="80"/>
      <c r="U120" s="76"/>
      <c r="V120" s="76"/>
      <c r="W120" s="76"/>
      <c r="X120" s="76"/>
      <c r="Y120" s="76"/>
      <c r="Z120" s="76"/>
      <c r="AA120" s="76"/>
      <c r="AB120" s="76"/>
      <c r="AC120" s="76"/>
      <c r="AD120" s="76"/>
      <c r="AE120" s="99"/>
      <c r="AF120" s="253"/>
    </row>
    <row r="121" spans="1:32" s="53" customFormat="1">
      <c r="A121" s="221">
        <f t="shared" si="31"/>
        <v>121</v>
      </c>
      <c r="B121" s="77"/>
      <c r="D121" s="45" t="s">
        <v>1</v>
      </c>
      <c r="E121" s="41"/>
      <c r="F121" s="41"/>
      <c r="G121" s="49"/>
      <c r="H121" s="76"/>
      <c r="I121" s="238"/>
      <c r="J121" s="83">
        <f>IF('4.) Yearly Budget'!$K$18&gt;0,'4.) Yearly Budget'!K121,'4.) Yearly Budget'!J121)</f>
        <v>0</v>
      </c>
      <c r="K121" s="340">
        <f t="shared" ref="K121:K140" si="72">IF(I$18&lt;&gt;0,J121-I121,0)</f>
        <v>0</v>
      </c>
      <c r="L121" s="81"/>
      <c r="M121" s="83">
        <f>IF('4.) Yearly Budget'!$N$18&gt;0,'4.) Yearly Budget'!N121,'4.) Yearly Budget'!M121)</f>
        <v>0</v>
      </c>
      <c r="N121" s="340">
        <f t="shared" ref="N121:N140" si="73">IF(L$18&lt;&gt;0,M121-L121,0)</f>
        <v>0</v>
      </c>
      <c r="O121" s="81"/>
      <c r="P121" s="83">
        <f>IF('4.) Yearly Budget'!$Q$18&gt;0,'4.) Yearly Budget'!Q121,'4.) Yearly Budget'!P121)</f>
        <v>0</v>
      </c>
      <c r="Q121" s="340">
        <f t="shared" ref="Q121:Q140" si="74">IF(O$18&lt;&gt;0,P121-O121,0)</f>
        <v>0</v>
      </c>
      <c r="R121" s="81"/>
      <c r="S121" s="83">
        <f>IF('4.) Yearly Budget'!$T$18&gt;0,'4.) Yearly Budget'!T121,'4.) Yearly Budget'!S121)</f>
        <v>0</v>
      </c>
      <c r="T121" s="86">
        <f t="shared" ref="T121:T140" si="75">IF(R$18&lt;&gt;0,S121-R121,0)</f>
        <v>0</v>
      </c>
      <c r="U121" s="239">
        <f t="shared" ref="U121:U140" si="76">IF(I$6&lt;&gt;0,I121,0)+IF(L$6&lt;&gt;0,L121,0)+IF(O$6&lt;&gt;0,O121,0)+IF(R$6&lt;&gt;0,R121,0)</f>
        <v>0</v>
      </c>
      <c r="V121" s="337">
        <f t="shared" ref="V121:V140" si="77">SUM(IF(I$6&lt;&gt;0,J121,0)+IF(L$6&lt;&gt;0,M121,0)+IF(O$6&lt;&gt;0,P121,0)+IF(R$6&lt;&gt;0,S121,0))</f>
        <v>0</v>
      </c>
      <c r="W121" s="337">
        <f t="shared" ref="W121:W140" si="78">V121-U121</f>
        <v>0</v>
      </c>
      <c r="X121" s="337">
        <f>'4.) Yearly Budget'!W121</f>
        <v>0</v>
      </c>
      <c r="Y121" s="338">
        <f t="shared" ref="Y121:Y140" si="79">IF(U121&lt;&gt;0,X121-U121,IF(U121=0,X121,0))</f>
        <v>0</v>
      </c>
      <c r="Z121" s="339">
        <f>SUM(IF(I$18&lt;&gt;0,'4.) Yearly Budget'!J121,0)+IF(L$18&lt;&gt;0,'4.) Yearly Budget'!M121,0)+IF(O$18&lt;&gt;0,'4.) Yearly Budget'!P121,0)+IF(R$18&lt;&gt;0,'4.) Yearly Budget'!S121,0))</f>
        <v>0</v>
      </c>
      <c r="AA121" s="339">
        <f t="shared" ref="AA121:AA140" si="80">Z121-U121</f>
        <v>0</v>
      </c>
      <c r="AB121" s="339">
        <f>'4.) Yearly Budget'!V121</f>
        <v>0</v>
      </c>
      <c r="AC121" s="340">
        <f t="shared" ref="AC121:AC140" si="81">IF(U121&lt;&gt;0,AB121-U121,IF(U121=0,AB121,0))</f>
        <v>0</v>
      </c>
      <c r="AD121" s="339">
        <f>IF(U$6&lt;&gt;0,'4.) Yearly Budget'!I121/$AM$18,0)</f>
        <v>0</v>
      </c>
      <c r="AE121" s="86">
        <f t="shared" ref="AE121:AE140" si="82">AD121-U121</f>
        <v>0</v>
      </c>
      <c r="AF121" s="253"/>
    </row>
    <row r="122" spans="1:32" s="53" customFormat="1">
      <c r="A122" s="221">
        <f t="shared" si="31"/>
        <v>122</v>
      </c>
      <c r="B122" s="77"/>
      <c r="D122" s="45" t="s">
        <v>71</v>
      </c>
      <c r="E122" s="41"/>
      <c r="F122" s="41"/>
      <c r="G122" s="49"/>
      <c r="H122" s="76"/>
      <c r="I122" s="238"/>
      <c r="J122" s="83">
        <f>IF('4.) Yearly Budget'!$K$18&gt;0,'4.) Yearly Budget'!K122,'4.) Yearly Budget'!J122)</f>
        <v>0</v>
      </c>
      <c r="K122" s="340">
        <f t="shared" si="72"/>
        <v>0</v>
      </c>
      <c r="L122" s="81"/>
      <c r="M122" s="83">
        <f>IF('4.) Yearly Budget'!$N$18&gt;0,'4.) Yearly Budget'!N122,'4.) Yearly Budget'!M122)</f>
        <v>0</v>
      </c>
      <c r="N122" s="340">
        <f t="shared" si="73"/>
        <v>0</v>
      </c>
      <c r="O122" s="81"/>
      <c r="P122" s="83">
        <f>IF('4.) Yearly Budget'!$Q$18&gt;0,'4.) Yearly Budget'!Q122,'4.) Yearly Budget'!P122)</f>
        <v>0</v>
      </c>
      <c r="Q122" s="340">
        <f t="shared" si="74"/>
        <v>0</v>
      </c>
      <c r="R122" s="81"/>
      <c r="S122" s="83">
        <f>IF('4.) Yearly Budget'!$T$18&gt;0,'4.) Yearly Budget'!T122,'4.) Yearly Budget'!S122)</f>
        <v>0</v>
      </c>
      <c r="T122" s="86">
        <f t="shared" si="75"/>
        <v>0</v>
      </c>
      <c r="U122" s="239">
        <f t="shared" si="76"/>
        <v>0</v>
      </c>
      <c r="V122" s="337">
        <f t="shared" si="77"/>
        <v>0</v>
      </c>
      <c r="W122" s="337">
        <f t="shared" si="78"/>
        <v>0</v>
      </c>
      <c r="X122" s="337">
        <f>'4.) Yearly Budget'!W122</f>
        <v>0</v>
      </c>
      <c r="Y122" s="338">
        <f t="shared" si="79"/>
        <v>0</v>
      </c>
      <c r="Z122" s="339">
        <f>SUM(IF(I$18&lt;&gt;0,'4.) Yearly Budget'!J122,0)+IF(L$18&lt;&gt;0,'4.) Yearly Budget'!M122,0)+IF(O$18&lt;&gt;0,'4.) Yearly Budget'!P122,0)+IF(R$18&lt;&gt;0,'4.) Yearly Budget'!S122,0))</f>
        <v>0</v>
      </c>
      <c r="AA122" s="339">
        <f t="shared" si="80"/>
        <v>0</v>
      </c>
      <c r="AB122" s="339">
        <f>'4.) Yearly Budget'!V122</f>
        <v>0</v>
      </c>
      <c r="AC122" s="340">
        <f t="shared" si="81"/>
        <v>0</v>
      </c>
      <c r="AD122" s="339">
        <f>IF(U$6&lt;&gt;0,'4.) Yearly Budget'!I122/$AM$18,0)</f>
        <v>0</v>
      </c>
      <c r="AE122" s="86">
        <f t="shared" si="82"/>
        <v>0</v>
      </c>
      <c r="AF122" s="253"/>
    </row>
    <row r="123" spans="1:32" s="53" customFormat="1">
      <c r="A123" s="221">
        <f t="shared" si="31"/>
        <v>123</v>
      </c>
      <c r="B123" s="77"/>
      <c r="D123" s="45" t="s">
        <v>64</v>
      </c>
      <c r="E123" s="41"/>
      <c r="F123" s="41"/>
      <c r="G123" s="49"/>
      <c r="H123" s="76"/>
      <c r="I123" s="238"/>
      <c r="J123" s="83">
        <f>IF('4.) Yearly Budget'!$K$18&gt;0,'4.) Yearly Budget'!K123,'4.) Yearly Budget'!J123)</f>
        <v>0</v>
      </c>
      <c r="K123" s="340">
        <f t="shared" si="72"/>
        <v>0</v>
      </c>
      <c r="L123" s="81"/>
      <c r="M123" s="83">
        <f>IF('4.) Yearly Budget'!$N$18&gt;0,'4.) Yearly Budget'!N123,'4.) Yearly Budget'!M123)</f>
        <v>0</v>
      </c>
      <c r="N123" s="340">
        <f t="shared" si="73"/>
        <v>0</v>
      </c>
      <c r="O123" s="81"/>
      <c r="P123" s="83">
        <f>IF('4.) Yearly Budget'!$Q$18&gt;0,'4.) Yearly Budget'!Q123,'4.) Yearly Budget'!P123)</f>
        <v>0</v>
      </c>
      <c r="Q123" s="340">
        <f t="shared" si="74"/>
        <v>0</v>
      </c>
      <c r="R123" s="81"/>
      <c r="S123" s="83">
        <f>IF('4.) Yearly Budget'!$T$18&gt;0,'4.) Yearly Budget'!T123,'4.) Yearly Budget'!S123)</f>
        <v>0</v>
      </c>
      <c r="T123" s="86">
        <f t="shared" si="75"/>
        <v>0</v>
      </c>
      <c r="U123" s="239">
        <f t="shared" si="76"/>
        <v>0</v>
      </c>
      <c r="V123" s="337">
        <f t="shared" si="77"/>
        <v>0</v>
      </c>
      <c r="W123" s="337">
        <f t="shared" si="78"/>
        <v>0</v>
      </c>
      <c r="X123" s="337">
        <f>'4.) Yearly Budget'!W123</f>
        <v>0</v>
      </c>
      <c r="Y123" s="338">
        <f t="shared" si="79"/>
        <v>0</v>
      </c>
      <c r="Z123" s="339">
        <f>SUM(IF(I$18&lt;&gt;0,'4.) Yearly Budget'!J123,0)+IF(L$18&lt;&gt;0,'4.) Yearly Budget'!M123,0)+IF(O$18&lt;&gt;0,'4.) Yearly Budget'!P123,0)+IF(R$18&lt;&gt;0,'4.) Yearly Budget'!S123,0))</f>
        <v>0</v>
      </c>
      <c r="AA123" s="339">
        <f t="shared" si="80"/>
        <v>0</v>
      </c>
      <c r="AB123" s="339">
        <f>'4.) Yearly Budget'!V123</f>
        <v>0</v>
      </c>
      <c r="AC123" s="340">
        <f t="shared" si="81"/>
        <v>0</v>
      </c>
      <c r="AD123" s="339">
        <f>IF(U$6&lt;&gt;0,'4.) Yearly Budget'!I123/$AM$18,0)</f>
        <v>0</v>
      </c>
      <c r="AE123" s="86">
        <f t="shared" si="82"/>
        <v>0</v>
      </c>
      <c r="AF123" s="253"/>
    </row>
    <row r="124" spans="1:32" s="53" customFormat="1">
      <c r="A124" s="221">
        <f t="shared" si="31"/>
        <v>124</v>
      </c>
      <c r="B124" s="77"/>
      <c r="D124" s="45" t="s">
        <v>70</v>
      </c>
      <c r="E124" s="41"/>
      <c r="F124" s="41"/>
      <c r="G124" s="49"/>
      <c r="H124" s="76"/>
      <c r="I124" s="238"/>
      <c r="J124" s="83">
        <f>IF('4.) Yearly Budget'!$K$18&gt;0,'4.) Yearly Budget'!K124,'4.) Yearly Budget'!J124)</f>
        <v>0</v>
      </c>
      <c r="K124" s="340">
        <f t="shared" si="72"/>
        <v>0</v>
      </c>
      <c r="L124" s="81"/>
      <c r="M124" s="83">
        <f>IF('4.) Yearly Budget'!$N$18&gt;0,'4.) Yearly Budget'!N124,'4.) Yearly Budget'!M124)</f>
        <v>0</v>
      </c>
      <c r="N124" s="340">
        <f t="shared" si="73"/>
        <v>0</v>
      </c>
      <c r="O124" s="81"/>
      <c r="P124" s="83">
        <f>IF('4.) Yearly Budget'!$Q$18&gt;0,'4.) Yearly Budget'!Q124,'4.) Yearly Budget'!P124)</f>
        <v>0</v>
      </c>
      <c r="Q124" s="340">
        <f t="shared" si="74"/>
        <v>0</v>
      </c>
      <c r="R124" s="81"/>
      <c r="S124" s="83">
        <f>IF('4.) Yearly Budget'!$T$18&gt;0,'4.) Yearly Budget'!T124,'4.) Yearly Budget'!S124)</f>
        <v>0</v>
      </c>
      <c r="T124" s="86">
        <f t="shared" si="75"/>
        <v>0</v>
      </c>
      <c r="U124" s="239">
        <f t="shared" si="76"/>
        <v>0</v>
      </c>
      <c r="V124" s="337">
        <f t="shared" si="77"/>
        <v>0</v>
      </c>
      <c r="W124" s="337">
        <f t="shared" si="78"/>
        <v>0</v>
      </c>
      <c r="X124" s="337">
        <f>'4.) Yearly Budget'!W124</f>
        <v>0</v>
      </c>
      <c r="Y124" s="338">
        <f t="shared" si="79"/>
        <v>0</v>
      </c>
      <c r="Z124" s="339">
        <f>SUM(IF(I$18&lt;&gt;0,'4.) Yearly Budget'!J124,0)+IF(L$18&lt;&gt;0,'4.) Yearly Budget'!M124,0)+IF(O$18&lt;&gt;0,'4.) Yearly Budget'!P124,0)+IF(R$18&lt;&gt;0,'4.) Yearly Budget'!S124,0))</f>
        <v>0</v>
      </c>
      <c r="AA124" s="339">
        <f t="shared" si="80"/>
        <v>0</v>
      </c>
      <c r="AB124" s="339">
        <f>'4.) Yearly Budget'!V124</f>
        <v>0</v>
      </c>
      <c r="AC124" s="340">
        <f t="shared" si="81"/>
        <v>0</v>
      </c>
      <c r="AD124" s="339">
        <f>IF(U$6&lt;&gt;0,'4.) Yearly Budget'!I124/$AM$18,0)</f>
        <v>0</v>
      </c>
      <c r="AE124" s="86">
        <f t="shared" si="82"/>
        <v>0</v>
      </c>
      <c r="AF124" s="253"/>
    </row>
    <row r="125" spans="1:32" s="53" customFormat="1">
      <c r="A125" s="221">
        <f t="shared" si="31"/>
        <v>125</v>
      </c>
      <c r="B125" s="77"/>
      <c r="D125" s="41" t="s">
        <v>72</v>
      </c>
      <c r="E125" s="41"/>
      <c r="F125" s="41"/>
      <c r="G125" s="49"/>
      <c r="H125" s="76"/>
      <c r="I125" s="238"/>
      <c r="J125" s="83">
        <f>IF('4.) Yearly Budget'!$K$18&gt;0,'4.) Yearly Budget'!K125,'4.) Yearly Budget'!J125)</f>
        <v>0</v>
      </c>
      <c r="K125" s="340">
        <f t="shared" si="72"/>
        <v>0</v>
      </c>
      <c r="L125" s="81"/>
      <c r="M125" s="83">
        <f>IF('4.) Yearly Budget'!$N$18&gt;0,'4.) Yearly Budget'!N125,'4.) Yearly Budget'!M125)</f>
        <v>0</v>
      </c>
      <c r="N125" s="340">
        <f t="shared" si="73"/>
        <v>0</v>
      </c>
      <c r="O125" s="81"/>
      <c r="P125" s="83">
        <f>IF('4.) Yearly Budget'!$Q$18&gt;0,'4.) Yearly Budget'!Q125,'4.) Yearly Budget'!P125)</f>
        <v>0</v>
      </c>
      <c r="Q125" s="340">
        <f t="shared" si="74"/>
        <v>0</v>
      </c>
      <c r="R125" s="81"/>
      <c r="S125" s="83">
        <f>IF('4.) Yearly Budget'!$T$18&gt;0,'4.) Yearly Budget'!T125,'4.) Yearly Budget'!S125)</f>
        <v>0</v>
      </c>
      <c r="T125" s="86">
        <f t="shared" si="75"/>
        <v>0</v>
      </c>
      <c r="U125" s="239">
        <f t="shared" si="76"/>
        <v>0</v>
      </c>
      <c r="V125" s="337">
        <f t="shared" si="77"/>
        <v>0</v>
      </c>
      <c r="W125" s="337">
        <f t="shared" si="78"/>
        <v>0</v>
      </c>
      <c r="X125" s="337">
        <f>'4.) Yearly Budget'!W125</f>
        <v>0</v>
      </c>
      <c r="Y125" s="338">
        <f t="shared" si="79"/>
        <v>0</v>
      </c>
      <c r="Z125" s="339">
        <f>SUM(IF(I$18&lt;&gt;0,'4.) Yearly Budget'!J125,0)+IF(L$18&lt;&gt;0,'4.) Yearly Budget'!M125,0)+IF(O$18&lt;&gt;0,'4.) Yearly Budget'!P125,0)+IF(R$18&lt;&gt;0,'4.) Yearly Budget'!S125,0))</f>
        <v>0</v>
      </c>
      <c r="AA125" s="339">
        <f t="shared" si="80"/>
        <v>0</v>
      </c>
      <c r="AB125" s="339">
        <f>'4.) Yearly Budget'!V125</f>
        <v>0</v>
      </c>
      <c r="AC125" s="340">
        <f t="shared" si="81"/>
        <v>0</v>
      </c>
      <c r="AD125" s="339">
        <f>IF(U$6&lt;&gt;0,'4.) Yearly Budget'!I125/$AM$18,0)</f>
        <v>0</v>
      </c>
      <c r="AE125" s="86">
        <f t="shared" si="82"/>
        <v>0</v>
      </c>
      <c r="AF125" s="253"/>
    </row>
    <row r="126" spans="1:32" s="53" customFormat="1">
      <c r="A126" s="221">
        <f t="shared" si="31"/>
        <v>126</v>
      </c>
      <c r="B126" s="77"/>
      <c r="D126" s="41" t="s">
        <v>56</v>
      </c>
      <c r="E126" s="41"/>
      <c r="F126" s="41"/>
      <c r="G126" s="49"/>
      <c r="H126" s="76"/>
      <c r="I126" s="238"/>
      <c r="J126" s="83">
        <f>IF('4.) Yearly Budget'!$K$18&gt;0,'4.) Yearly Budget'!K126,'4.) Yearly Budget'!J126)</f>
        <v>0</v>
      </c>
      <c r="K126" s="340">
        <f t="shared" si="72"/>
        <v>0</v>
      </c>
      <c r="L126" s="81"/>
      <c r="M126" s="83">
        <f>IF('4.) Yearly Budget'!$N$18&gt;0,'4.) Yearly Budget'!N126,'4.) Yearly Budget'!M126)</f>
        <v>0</v>
      </c>
      <c r="N126" s="340">
        <f t="shared" si="73"/>
        <v>0</v>
      </c>
      <c r="O126" s="81"/>
      <c r="P126" s="83">
        <f>IF('4.) Yearly Budget'!$Q$18&gt;0,'4.) Yearly Budget'!Q126,'4.) Yearly Budget'!P126)</f>
        <v>0</v>
      </c>
      <c r="Q126" s="340">
        <f t="shared" si="74"/>
        <v>0</v>
      </c>
      <c r="R126" s="81"/>
      <c r="S126" s="83">
        <f>IF('4.) Yearly Budget'!$T$18&gt;0,'4.) Yearly Budget'!T126,'4.) Yearly Budget'!S126)</f>
        <v>0</v>
      </c>
      <c r="T126" s="86">
        <f t="shared" si="75"/>
        <v>0</v>
      </c>
      <c r="U126" s="239">
        <f t="shared" si="76"/>
        <v>0</v>
      </c>
      <c r="V126" s="337">
        <f t="shared" si="77"/>
        <v>0</v>
      </c>
      <c r="W126" s="337">
        <f t="shared" si="78"/>
        <v>0</v>
      </c>
      <c r="X126" s="337">
        <f>'4.) Yearly Budget'!W126</f>
        <v>0</v>
      </c>
      <c r="Y126" s="338">
        <f t="shared" si="79"/>
        <v>0</v>
      </c>
      <c r="Z126" s="339">
        <f>SUM(IF(I$18&lt;&gt;0,'4.) Yearly Budget'!J126,0)+IF(L$18&lt;&gt;0,'4.) Yearly Budget'!M126,0)+IF(O$18&lt;&gt;0,'4.) Yearly Budget'!P126,0)+IF(R$18&lt;&gt;0,'4.) Yearly Budget'!S126,0))</f>
        <v>0</v>
      </c>
      <c r="AA126" s="339">
        <f t="shared" si="80"/>
        <v>0</v>
      </c>
      <c r="AB126" s="339">
        <f>'4.) Yearly Budget'!V126</f>
        <v>0</v>
      </c>
      <c r="AC126" s="340">
        <f t="shared" si="81"/>
        <v>0</v>
      </c>
      <c r="AD126" s="339">
        <f>IF(U$6&lt;&gt;0,'4.) Yearly Budget'!I126/$AM$18,0)</f>
        <v>0</v>
      </c>
      <c r="AE126" s="86">
        <f t="shared" si="82"/>
        <v>0</v>
      </c>
      <c r="AF126" s="253"/>
    </row>
    <row r="127" spans="1:32" s="53" customFormat="1">
      <c r="A127" s="221">
        <f t="shared" si="31"/>
        <v>127</v>
      </c>
      <c r="B127" s="77"/>
      <c r="D127" s="45" t="s">
        <v>62</v>
      </c>
      <c r="E127" s="41"/>
      <c r="F127" s="41"/>
      <c r="G127" s="49"/>
      <c r="H127" s="76"/>
      <c r="I127" s="238"/>
      <c r="J127" s="83">
        <f>IF('4.) Yearly Budget'!$K$18&gt;0,'4.) Yearly Budget'!K127,'4.) Yearly Budget'!J127)</f>
        <v>0</v>
      </c>
      <c r="K127" s="340">
        <f t="shared" si="72"/>
        <v>0</v>
      </c>
      <c r="L127" s="81"/>
      <c r="M127" s="83">
        <f>IF('4.) Yearly Budget'!$N$18&gt;0,'4.) Yearly Budget'!N127,'4.) Yearly Budget'!M127)</f>
        <v>0</v>
      </c>
      <c r="N127" s="340">
        <f t="shared" si="73"/>
        <v>0</v>
      </c>
      <c r="O127" s="81"/>
      <c r="P127" s="83">
        <f>IF('4.) Yearly Budget'!$Q$18&gt;0,'4.) Yearly Budget'!Q127,'4.) Yearly Budget'!P127)</f>
        <v>0</v>
      </c>
      <c r="Q127" s="340">
        <f t="shared" si="74"/>
        <v>0</v>
      </c>
      <c r="R127" s="81"/>
      <c r="S127" s="83">
        <f>IF('4.) Yearly Budget'!$T$18&gt;0,'4.) Yearly Budget'!T127,'4.) Yearly Budget'!S127)</f>
        <v>0</v>
      </c>
      <c r="T127" s="86">
        <f t="shared" si="75"/>
        <v>0</v>
      </c>
      <c r="U127" s="239">
        <f t="shared" si="76"/>
        <v>0</v>
      </c>
      <c r="V127" s="337">
        <f t="shared" si="77"/>
        <v>0</v>
      </c>
      <c r="W127" s="337">
        <f t="shared" si="78"/>
        <v>0</v>
      </c>
      <c r="X127" s="337">
        <f>'4.) Yearly Budget'!W127</f>
        <v>0</v>
      </c>
      <c r="Y127" s="338">
        <f t="shared" si="79"/>
        <v>0</v>
      </c>
      <c r="Z127" s="339">
        <f>SUM(IF(I$18&lt;&gt;0,'4.) Yearly Budget'!J127,0)+IF(L$18&lt;&gt;0,'4.) Yearly Budget'!M127,0)+IF(O$18&lt;&gt;0,'4.) Yearly Budget'!P127,0)+IF(R$18&lt;&gt;0,'4.) Yearly Budget'!S127,0))</f>
        <v>0</v>
      </c>
      <c r="AA127" s="339">
        <f t="shared" si="80"/>
        <v>0</v>
      </c>
      <c r="AB127" s="339">
        <f>'4.) Yearly Budget'!V127</f>
        <v>0</v>
      </c>
      <c r="AC127" s="340">
        <f t="shared" si="81"/>
        <v>0</v>
      </c>
      <c r="AD127" s="339">
        <f>IF(U$6&lt;&gt;0,'4.) Yearly Budget'!I127/$AM$18,0)</f>
        <v>0</v>
      </c>
      <c r="AE127" s="86">
        <f t="shared" si="82"/>
        <v>0</v>
      </c>
      <c r="AF127" s="253"/>
    </row>
    <row r="128" spans="1:32" s="53" customFormat="1">
      <c r="A128" s="221">
        <f t="shared" si="31"/>
        <v>128</v>
      </c>
      <c r="B128" s="77"/>
      <c r="D128" s="41" t="s">
        <v>53</v>
      </c>
      <c r="E128" s="41"/>
      <c r="F128" s="41"/>
      <c r="G128" s="49"/>
      <c r="H128" s="76"/>
      <c r="I128" s="238"/>
      <c r="J128" s="83">
        <f>IF('4.) Yearly Budget'!$K$18&gt;0,'4.) Yearly Budget'!K128,'4.) Yearly Budget'!J128)</f>
        <v>0</v>
      </c>
      <c r="K128" s="340">
        <f t="shared" si="72"/>
        <v>0</v>
      </c>
      <c r="L128" s="81"/>
      <c r="M128" s="83">
        <f>IF('4.) Yearly Budget'!$N$18&gt;0,'4.) Yearly Budget'!N128,'4.) Yearly Budget'!M128)</f>
        <v>0</v>
      </c>
      <c r="N128" s="340">
        <f t="shared" si="73"/>
        <v>0</v>
      </c>
      <c r="O128" s="81"/>
      <c r="P128" s="83">
        <f>IF('4.) Yearly Budget'!$Q$18&gt;0,'4.) Yearly Budget'!Q128,'4.) Yearly Budget'!P128)</f>
        <v>0</v>
      </c>
      <c r="Q128" s="340">
        <f t="shared" si="74"/>
        <v>0</v>
      </c>
      <c r="R128" s="81"/>
      <c r="S128" s="83">
        <f>IF('4.) Yearly Budget'!$T$18&gt;0,'4.) Yearly Budget'!T128,'4.) Yearly Budget'!S128)</f>
        <v>0</v>
      </c>
      <c r="T128" s="86">
        <f t="shared" si="75"/>
        <v>0</v>
      </c>
      <c r="U128" s="239">
        <f t="shared" si="76"/>
        <v>0</v>
      </c>
      <c r="V128" s="337">
        <f t="shared" si="77"/>
        <v>0</v>
      </c>
      <c r="W128" s="337">
        <f t="shared" si="78"/>
        <v>0</v>
      </c>
      <c r="X128" s="337">
        <f>'4.) Yearly Budget'!W128</f>
        <v>0</v>
      </c>
      <c r="Y128" s="338">
        <f t="shared" si="79"/>
        <v>0</v>
      </c>
      <c r="Z128" s="339">
        <f>SUM(IF(I$18&lt;&gt;0,'4.) Yearly Budget'!J128,0)+IF(L$18&lt;&gt;0,'4.) Yearly Budget'!M128,0)+IF(O$18&lt;&gt;0,'4.) Yearly Budget'!P128,0)+IF(R$18&lt;&gt;0,'4.) Yearly Budget'!S128,0))</f>
        <v>0</v>
      </c>
      <c r="AA128" s="339">
        <f t="shared" si="80"/>
        <v>0</v>
      </c>
      <c r="AB128" s="339">
        <f>'4.) Yearly Budget'!V128</f>
        <v>0</v>
      </c>
      <c r="AC128" s="340">
        <f t="shared" si="81"/>
        <v>0</v>
      </c>
      <c r="AD128" s="339">
        <f>IF(U$6&lt;&gt;0,'4.) Yearly Budget'!I128/$AM$18,0)</f>
        <v>0</v>
      </c>
      <c r="AE128" s="86">
        <f t="shared" si="82"/>
        <v>0</v>
      </c>
      <c r="AF128" s="253"/>
    </row>
    <row r="129" spans="1:32" s="53" customFormat="1">
      <c r="A129" s="221">
        <f t="shared" si="31"/>
        <v>129</v>
      </c>
      <c r="B129" s="77"/>
      <c r="D129" s="45" t="s">
        <v>60</v>
      </c>
      <c r="E129" s="41"/>
      <c r="F129" s="41"/>
      <c r="G129" s="49"/>
      <c r="H129" s="76"/>
      <c r="I129" s="238"/>
      <c r="J129" s="83">
        <f>IF('4.) Yearly Budget'!$K$18&gt;0,'4.) Yearly Budget'!K129,'4.) Yearly Budget'!J129)</f>
        <v>0</v>
      </c>
      <c r="K129" s="340">
        <f t="shared" si="72"/>
        <v>0</v>
      </c>
      <c r="L129" s="81"/>
      <c r="M129" s="83">
        <f>IF('4.) Yearly Budget'!$N$18&gt;0,'4.) Yearly Budget'!N129,'4.) Yearly Budget'!M129)</f>
        <v>0</v>
      </c>
      <c r="N129" s="340">
        <f t="shared" si="73"/>
        <v>0</v>
      </c>
      <c r="O129" s="81"/>
      <c r="P129" s="83">
        <f>IF('4.) Yearly Budget'!$Q$18&gt;0,'4.) Yearly Budget'!Q129,'4.) Yearly Budget'!P129)</f>
        <v>0</v>
      </c>
      <c r="Q129" s="340">
        <f t="shared" si="74"/>
        <v>0</v>
      </c>
      <c r="R129" s="81"/>
      <c r="S129" s="83">
        <f>IF('4.) Yearly Budget'!$T$18&gt;0,'4.) Yearly Budget'!T129,'4.) Yearly Budget'!S129)</f>
        <v>0</v>
      </c>
      <c r="T129" s="86">
        <f t="shared" si="75"/>
        <v>0</v>
      </c>
      <c r="U129" s="239">
        <f t="shared" si="76"/>
        <v>0</v>
      </c>
      <c r="V129" s="337">
        <f t="shared" si="77"/>
        <v>0</v>
      </c>
      <c r="W129" s="337">
        <f t="shared" si="78"/>
        <v>0</v>
      </c>
      <c r="X129" s="337">
        <f>'4.) Yearly Budget'!W129</f>
        <v>0</v>
      </c>
      <c r="Y129" s="338">
        <f t="shared" si="79"/>
        <v>0</v>
      </c>
      <c r="Z129" s="339">
        <f>SUM(IF(I$18&lt;&gt;0,'4.) Yearly Budget'!J129,0)+IF(L$18&lt;&gt;0,'4.) Yearly Budget'!M129,0)+IF(O$18&lt;&gt;0,'4.) Yearly Budget'!P129,0)+IF(R$18&lt;&gt;0,'4.) Yearly Budget'!S129,0))</f>
        <v>0</v>
      </c>
      <c r="AA129" s="339">
        <f t="shared" si="80"/>
        <v>0</v>
      </c>
      <c r="AB129" s="339">
        <f>'4.) Yearly Budget'!V129</f>
        <v>0</v>
      </c>
      <c r="AC129" s="340">
        <f t="shared" si="81"/>
        <v>0</v>
      </c>
      <c r="AD129" s="339">
        <f>IF(U$6&lt;&gt;0,'4.) Yearly Budget'!I129/$AM$18,0)</f>
        <v>0</v>
      </c>
      <c r="AE129" s="86">
        <f t="shared" si="82"/>
        <v>0</v>
      </c>
      <c r="AF129" s="253"/>
    </row>
    <row r="130" spans="1:32" s="53" customFormat="1">
      <c r="A130" s="221">
        <f t="shared" si="31"/>
        <v>130</v>
      </c>
      <c r="B130" s="77"/>
      <c r="D130" s="45" t="s">
        <v>2</v>
      </c>
      <c r="E130" s="41"/>
      <c r="F130" s="41"/>
      <c r="G130" s="49"/>
      <c r="H130" s="76"/>
      <c r="I130" s="238"/>
      <c r="J130" s="83">
        <f>IF('4.) Yearly Budget'!$K$18&gt;0,'4.) Yearly Budget'!K130,'4.) Yearly Budget'!J130)</f>
        <v>0</v>
      </c>
      <c r="K130" s="340">
        <f t="shared" si="72"/>
        <v>0</v>
      </c>
      <c r="L130" s="81"/>
      <c r="M130" s="83">
        <f>IF('4.) Yearly Budget'!$N$18&gt;0,'4.) Yearly Budget'!N130,'4.) Yearly Budget'!M130)</f>
        <v>0</v>
      </c>
      <c r="N130" s="340">
        <f t="shared" si="73"/>
        <v>0</v>
      </c>
      <c r="O130" s="81"/>
      <c r="P130" s="83">
        <f>IF('4.) Yearly Budget'!$Q$18&gt;0,'4.) Yearly Budget'!Q130,'4.) Yearly Budget'!P130)</f>
        <v>0</v>
      </c>
      <c r="Q130" s="340">
        <f t="shared" si="74"/>
        <v>0</v>
      </c>
      <c r="R130" s="81"/>
      <c r="S130" s="83">
        <f>IF('4.) Yearly Budget'!$T$18&gt;0,'4.) Yearly Budget'!T130,'4.) Yearly Budget'!S130)</f>
        <v>0</v>
      </c>
      <c r="T130" s="86">
        <f t="shared" si="75"/>
        <v>0</v>
      </c>
      <c r="U130" s="239">
        <f t="shared" si="76"/>
        <v>0</v>
      </c>
      <c r="V130" s="337">
        <f t="shared" si="77"/>
        <v>0</v>
      </c>
      <c r="W130" s="337">
        <f t="shared" si="78"/>
        <v>0</v>
      </c>
      <c r="X130" s="337">
        <f>'4.) Yearly Budget'!W130</f>
        <v>0</v>
      </c>
      <c r="Y130" s="338">
        <f t="shared" si="79"/>
        <v>0</v>
      </c>
      <c r="Z130" s="339">
        <f>SUM(IF(I$18&lt;&gt;0,'4.) Yearly Budget'!J130,0)+IF(L$18&lt;&gt;0,'4.) Yearly Budget'!M130,0)+IF(O$18&lt;&gt;0,'4.) Yearly Budget'!P130,0)+IF(R$18&lt;&gt;0,'4.) Yearly Budget'!S130,0))</f>
        <v>0</v>
      </c>
      <c r="AA130" s="339">
        <f t="shared" si="80"/>
        <v>0</v>
      </c>
      <c r="AB130" s="339">
        <f>'4.) Yearly Budget'!V130</f>
        <v>0</v>
      </c>
      <c r="AC130" s="340">
        <f t="shared" si="81"/>
        <v>0</v>
      </c>
      <c r="AD130" s="339">
        <f>IF(U$6&lt;&gt;0,'4.) Yearly Budget'!I130/$AM$18,0)</f>
        <v>0</v>
      </c>
      <c r="AE130" s="86">
        <f t="shared" si="82"/>
        <v>0</v>
      </c>
      <c r="AF130" s="253"/>
    </row>
    <row r="131" spans="1:32" s="53" customFormat="1">
      <c r="A131" s="221">
        <f t="shared" si="31"/>
        <v>131</v>
      </c>
      <c r="B131" s="77"/>
      <c r="D131" s="45" t="s">
        <v>19</v>
      </c>
      <c r="E131" s="41"/>
      <c r="F131" s="41"/>
      <c r="G131" s="49"/>
      <c r="H131" s="76"/>
      <c r="I131" s="238"/>
      <c r="J131" s="83">
        <f>IF('4.) Yearly Budget'!$K$18&gt;0,'4.) Yearly Budget'!K131,'4.) Yearly Budget'!J131)</f>
        <v>0</v>
      </c>
      <c r="K131" s="340">
        <f t="shared" si="72"/>
        <v>0</v>
      </c>
      <c r="L131" s="81"/>
      <c r="M131" s="83">
        <f>IF('4.) Yearly Budget'!$N$18&gt;0,'4.) Yearly Budget'!N131,'4.) Yearly Budget'!M131)</f>
        <v>0</v>
      </c>
      <c r="N131" s="340">
        <f t="shared" si="73"/>
        <v>0</v>
      </c>
      <c r="O131" s="81"/>
      <c r="P131" s="83">
        <f>IF('4.) Yearly Budget'!$Q$18&gt;0,'4.) Yearly Budget'!Q131,'4.) Yearly Budget'!P131)</f>
        <v>0</v>
      </c>
      <c r="Q131" s="340">
        <f t="shared" si="74"/>
        <v>0</v>
      </c>
      <c r="R131" s="81"/>
      <c r="S131" s="83">
        <f>IF('4.) Yearly Budget'!$T$18&gt;0,'4.) Yearly Budget'!T131,'4.) Yearly Budget'!S131)</f>
        <v>0</v>
      </c>
      <c r="T131" s="86">
        <f t="shared" si="75"/>
        <v>0</v>
      </c>
      <c r="U131" s="239">
        <f t="shared" si="76"/>
        <v>0</v>
      </c>
      <c r="V131" s="337">
        <f t="shared" si="77"/>
        <v>0</v>
      </c>
      <c r="W131" s="337">
        <f t="shared" si="78"/>
        <v>0</v>
      </c>
      <c r="X131" s="337">
        <f>'4.) Yearly Budget'!W131</f>
        <v>0</v>
      </c>
      <c r="Y131" s="338">
        <f t="shared" si="79"/>
        <v>0</v>
      </c>
      <c r="Z131" s="339">
        <f>SUM(IF(I$18&lt;&gt;0,'4.) Yearly Budget'!J131,0)+IF(L$18&lt;&gt;0,'4.) Yearly Budget'!M131,0)+IF(O$18&lt;&gt;0,'4.) Yearly Budget'!P131,0)+IF(R$18&lt;&gt;0,'4.) Yearly Budget'!S131,0))</f>
        <v>0</v>
      </c>
      <c r="AA131" s="339">
        <f t="shared" si="80"/>
        <v>0</v>
      </c>
      <c r="AB131" s="339">
        <f>'4.) Yearly Budget'!V131</f>
        <v>0</v>
      </c>
      <c r="AC131" s="340">
        <f t="shared" si="81"/>
        <v>0</v>
      </c>
      <c r="AD131" s="339">
        <f>IF(U$6&lt;&gt;0,'4.) Yearly Budget'!I131/$AM$18,0)</f>
        <v>0</v>
      </c>
      <c r="AE131" s="86">
        <f t="shared" si="82"/>
        <v>0</v>
      </c>
      <c r="AF131" s="253"/>
    </row>
    <row r="132" spans="1:32" s="53" customFormat="1">
      <c r="A132" s="221">
        <f t="shared" ref="A132:A183" si="83">A131+1</f>
        <v>132</v>
      </c>
      <c r="B132" s="77"/>
      <c r="D132" s="45" t="s">
        <v>63</v>
      </c>
      <c r="E132" s="41"/>
      <c r="F132" s="41"/>
      <c r="G132" s="49"/>
      <c r="H132" s="76"/>
      <c r="I132" s="238"/>
      <c r="J132" s="83">
        <f>IF('4.) Yearly Budget'!$K$18&gt;0,'4.) Yearly Budget'!K132,'4.) Yearly Budget'!J132)</f>
        <v>0</v>
      </c>
      <c r="K132" s="340">
        <f t="shared" si="72"/>
        <v>0</v>
      </c>
      <c r="L132" s="81"/>
      <c r="M132" s="83">
        <f>IF('4.) Yearly Budget'!$N$18&gt;0,'4.) Yearly Budget'!N132,'4.) Yearly Budget'!M132)</f>
        <v>0</v>
      </c>
      <c r="N132" s="340">
        <f t="shared" si="73"/>
        <v>0</v>
      </c>
      <c r="O132" s="81"/>
      <c r="P132" s="83">
        <f>IF('4.) Yearly Budget'!$Q$18&gt;0,'4.) Yearly Budget'!Q132,'4.) Yearly Budget'!P132)</f>
        <v>0</v>
      </c>
      <c r="Q132" s="340">
        <f t="shared" si="74"/>
        <v>0</v>
      </c>
      <c r="R132" s="81"/>
      <c r="S132" s="83">
        <f>IF('4.) Yearly Budget'!$T$18&gt;0,'4.) Yearly Budget'!T132,'4.) Yearly Budget'!S132)</f>
        <v>0</v>
      </c>
      <c r="T132" s="86">
        <f t="shared" si="75"/>
        <v>0</v>
      </c>
      <c r="U132" s="239">
        <f t="shared" si="76"/>
        <v>0</v>
      </c>
      <c r="V132" s="337">
        <f t="shared" si="77"/>
        <v>0</v>
      </c>
      <c r="W132" s="337">
        <f t="shared" si="78"/>
        <v>0</v>
      </c>
      <c r="X132" s="337">
        <f>'4.) Yearly Budget'!W132</f>
        <v>0</v>
      </c>
      <c r="Y132" s="338">
        <f t="shared" si="79"/>
        <v>0</v>
      </c>
      <c r="Z132" s="339">
        <f>SUM(IF(I$18&lt;&gt;0,'4.) Yearly Budget'!J132,0)+IF(L$18&lt;&gt;0,'4.) Yearly Budget'!M132,0)+IF(O$18&lt;&gt;0,'4.) Yearly Budget'!P132,0)+IF(R$18&lt;&gt;0,'4.) Yearly Budget'!S132,0))</f>
        <v>0</v>
      </c>
      <c r="AA132" s="339">
        <f t="shared" si="80"/>
        <v>0</v>
      </c>
      <c r="AB132" s="339">
        <f>'4.) Yearly Budget'!V132</f>
        <v>0</v>
      </c>
      <c r="AC132" s="340">
        <f t="shared" si="81"/>
        <v>0</v>
      </c>
      <c r="AD132" s="339">
        <f>IF(U$6&lt;&gt;0,'4.) Yearly Budget'!I132/$AM$18,0)</f>
        <v>0</v>
      </c>
      <c r="AE132" s="86">
        <f t="shared" si="82"/>
        <v>0</v>
      </c>
      <c r="AF132" s="253"/>
    </row>
    <row r="133" spans="1:32" s="53" customFormat="1">
      <c r="A133" s="221">
        <f t="shared" si="83"/>
        <v>133</v>
      </c>
      <c r="B133" s="77"/>
      <c r="D133" s="41" t="s">
        <v>6</v>
      </c>
      <c r="E133" s="41"/>
      <c r="F133" s="41"/>
      <c r="G133" s="49"/>
      <c r="H133" s="76"/>
      <c r="I133" s="238"/>
      <c r="J133" s="83">
        <f>IF('4.) Yearly Budget'!$K$18&gt;0,'4.) Yearly Budget'!K133,'4.) Yearly Budget'!J133)</f>
        <v>0</v>
      </c>
      <c r="K133" s="340">
        <f t="shared" si="72"/>
        <v>0</v>
      </c>
      <c r="L133" s="81"/>
      <c r="M133" s="83">
        <f>IF('4.) Yearly Budget'!$N$18&gt;0,'4.) Yearly Budget'!N133,'4.) Yearly Budget'!M133)</f>
        <v>0</v>
      </c>
      <c r="N133" s="340">
        <f t="shared" si="73"/>
        <v>0</v>
      </c>
      <c r="O133" s="81"/>
      <c r="P133" s="83">
        <f>IF('4.) Yearly Budget'!$Q$18&gt;0,'4.) Yearly Budget'!Q133,'4.) Yearly Budget'!P133)</f>
        <v>0</v>
      </c>
      <c r="Q133" s="340">
        <f t="shared" si="74"/>
        <v>0</v>
      </c>
      <c r="R133" s="81"/>
      <c r="S133" s="83">
        <f>IF('4.) Yearly Budget'!$T$18&gt;0,'4.) Yearly Budget'!T133,'4.) Yearly Budget'!S133)</f>
        <v>0</v>
      </c>
      <c r="T133" s="86">
        <f t="shared" si="75"/>
        <v>0</v>
      </c>
      <c r="U133" s="239">
        <f t="shared" si="76"/>
        <v>0</v>
      </c>
      <c r="V133" s="337">
        <f t="shared" si="77"/>
        <v>0</v>
      </c>
      <c r="W133" s="337">
        <f t="shared" si="78"/>
        <v>0</v>
      </c>
      <c r="X133" s="337">
        <f>'4.) Yearly Budget'!W133</f>
        <v>0</v>
      </c>
      <c r="Y133" s="338">
        <f t="shared" si="79"/>
        <v>0</v>
      </c>
      <c r="Z133" s="339">
        <f>SUM(IF(I$18&lt;&gt;0,'4.) Yearly Budget'!J133,0)+IF(L$18&lt;&gt;0,'4.) Yearly Budget'!M133,0)+IF(O$18&lt;&gt;0,'4.) Yearly Budget'!P133,0)+IF(R$18&lt;&gt;0,'4.) Yearly Budget'!S133,0))</f>
        <v>0</v>
      </c>
      <c r="AA133" s="339">
        <f t="shared" si="80"/>
        <v>0</v>
      </c>
      <c r="AB133" s="339">
        <f>'4.) Yearly Budget'!V133</f>
        <v>0</v>
      </c>
      <c r="AC133" s="340">
        <f t="shared" si="81"/>
        <v>0</v>
      </c>
      <c r="AD133" s="339">
        <f>IF(U$6&lt;&gt;0,'4.) Yearly Budget'!I133/$AM$18,0)</f>
        <v>0</v>
      </c>
      <c r="AE133" s="86">
        <f t="shared" si="82"/>
        <v>0</v>
      </c>
      <c r="AF133" s="253"/>
    </row>
    <row r="134" spans="1:32" s="53" customFormat="1">
      <c r="A134" s="221">
        <f t="shared" si="83"/>
        <v>134</v>
      </c>
      <c r="B134" s="77"/>
      <c r="D134" s="41" t="s">
        <v>18</v>
      </c>
      <c r="E134" s="41"/>
      <c r="F134" s="41"/>
      <c r="G134" s="49"/>
      <c r="H134" s="76"/>
      <c r="I134" s="238"/>
      <c r="J134" s="83">
        <f>IF('4.) Yearly Budget'!$K$18&gt;0,'4.) Yearly Budget'!K134,'4.) Yearly Budget'!J134)</f>
        <v>0</v>
      </c>
      <c r="K134" s="340">
        <f t="shared" si="72"/>
        <v>0</v>
      </c>
      <c r="L134" s="81"/>
      <c r="M134" s="83">
        <f>IF('4.) Yearly Budget'!$N$18&gt;0,'4.) Yearly Budget'!N134,'4.) Yearly Budget'!M134)</f>
        <v>0</v>
      </c>
      <c r="N134" s="340">
        <f t="shared" si="73"/>
        <v>0</v>
      </c>
      <c r="O134" s="81"/>
      <c r="P134" s="83">
        <f>IF('4.) Yearly Budget'!$Q$18&gt;0,'4.) Yearly Budget'!Q134,'4.) Yearly Budget'!P134)</f>
        <v>0</v>
      </c>
      <c r="Q134" s="340">
        <f t="shared" si="74"/>
        <v>0</v>
      </c>
      <c r="R134" s="81"/>
      <c r="S134" s="83">
        <f>IF('4.) Yearly Budget'!$T$18&gt;0,'4.) Yearly Budget'!T134,'4.) Yearly Budget'!S134)</f>
        <v>0</v>
      </c>
      <c r="T134" s="86">
        <f t="shared" si="75"/>
        <v>0</v>
      </c>
      <c r="U134" s="239">
        <f t="shared" si="76"/>
        <v>0</v>
      </c>
      <c r="V134" s="337">
        <f t="shared" si="77"/>
        <v>0</v>
      </c>
      <c r="W134" s="337">
        <f t="shared" si="78"/>
        <v>0</v>
      </c>
      <c r="X134" s="337">
        <f>'4.) Yearly Budget'!W134</f>
        <v>0</v>
      </c>
      <c r="Y134" s="338">
        <f t="shared" si="79"/>
        <v>0</v>
      </c>
      <c r="Z134" s="339">
        <f>SUM(IF(I$18&lt;&gt;0,'4.) Yearly Budget'!J134,0)+IF(L$18&lt;&gt;0,'4.) Yearly Budget'!M134,0)+IF(O$18&lt;&gt;0,'4.) Yearly Budget'!P134,0)+IF(R$18&lt;&gt;0,'4.) Yearly Budget'!S134,0))</f>
        <v>0</v>
      </c>
      <c r="AA134" s="339">
        <f t="shared" si="80"/>
        <v>0</v>
      </c>
      <c r="AB134" s="339">
        <f>'4.) Yearly Budget'!V134</f>
        <v>0</v>
      </c>
      <c r="AC134" s="340">
        <f t="shared" si="81"/>
        <v>0</v>
      </c>
      <c r="AD134" s="339">
        <f>IF(U$6&lt;&gt;0,'4.) Yearly Budget'!I134/$AM$18,0)</f>
        <v>0</v>
      </c>
      <c r="AE134" s="86">
        <f t="shared" si="82"/>
        <v>0</v>
      </c>
      <c r="AF134" s="253"/>
    </row>
    <row r="135" spans="1:32" s="53" customFormat="1">
      <c r="A135" s="221">
        <f t="shared" si="83"/>
        <v>135</v>
      </c>
      <c r="B135" s="77"/>
      <c r="D135" s="45" t="s">
        <v>8</v>
      </c>
      <c r="E135" s="41"/>
      <c r="F135" s="41"/>
      <c r="G135" s="49"/>
      <c r="H135" s="76"/>
      <c r="I135" s="238"/>
      <c r="J135" s="83">
        <f>IF('4.) Yearly Budget'!$K$18&gt;0,'4.) Yearly Budget'!K135,'4.) Yearly Budget'!J135)</f>
        <v>0</v>
      </c>
      <c r="K135" s="340">
        <f t="shared" si="72"/>
        <v>0</v>
      </c>
      <c r="L135" s="81"/>
      <c r="M135" s="83">
        <f>IF('4.) Yearly Budget'!$N$18&gt;0,'4.) Yearly Budget'!N135,'4.) Yearly Budget'!M135)</f>
        <v>0</v>
      </c>
      <c r="N135" s="340">
        <f t="shared" si="73"/>
        <v>0</v>
      </c>
      <c r="O135" s="81"/>
      <c r="P135" s="83">
        <f>IF('4.) Yearly Budget'!$Q$18&gt;0,'4.) Yearly Budget'!Q135,'4.) Yearly Budget'!P135)</f>
        <v>0</v>
      </c>
      <c r="Q135" s="340">
        <f t="shared" si="74"/>
        <v>0</v>
      </c>
      <c r="R135" s="81"/>
      <c r="S135" s="83">
        <f>IF('4.) Yearly Budget'!$T$18&gt;0,'4.) Yearly Budget'!T135,'4.) Yearly Budget'!S135)</f>
        <v>0</v>
      </c>
      <c r="T135" s="86">
        <f t="shared" si="75"/>
        <v>0</v>
      </c>
      <c r="U135" s="239">
        <f t="shared" si="76"/>
        <v>0</v>
      </c>
      <c r="V135" s="337">
        <f t="shared" si="77"/>
        <v>0</v>
      </c>
      <c r="W135" s="337">
        <f t="shared" si="78"/>
        <v>0</v>
      </c>
      <c r="X135" s="337">
        <f>'4.) Yearly Budget'!W135</f>
        <v>0</v>
      </c>
      <c r="Y135" s="338">
        <f t="shared" si="79"/>
        <v>0</v>
      </c>
      <c r="Z135" s="339">
        <f>SUM(IF(I$18&lt;&gt;0,'4.) Yearly Budget'!J135,0)+IF(L$18&lt;&gt;0,'4.) Yearly Budget'!M135,0)+IF(O$18&lt;&gt;0,'4.) Yearly Budget'!P135,0)+IF(R$18&lt;&gt;0,'4.) Yearly Budget'!S135,0))</f>
        <v>0</v>
      </c>
      <c r="AA135" s="339">
        <f t="shared" si="80"/>
        <v>0</v>
      </c>
      <c r="AB135" s="339">
        <f>'4.) Yearly Budget'!V135</f>
        <v>0</v>
      </c>
      <c r="AC135" s="340">
        <f t="shared" si="81"/>
        <v>0</v>
      </c>
      <c r="AD135" s="339">
        <f>IF(U$6&lt;&gt;0,'4.) Yearly Budget'!I135/$AM$18,0)</f>
        <v>0</v>
      </c>
      <c r="AE135" s="86">
        <f t="shared" si="82"/>
        <v>0</v>
      </c>
      <c r="AF135" s="253"/>
    </row>
    <row r="136" spans="1:32" s="53" customFormat="1">
      <c r="A136" s="221">
        <f t="shared" si="83"/>
        <v>136</v>
      </c>
      <c r="B136" s="77"/>
      <c r="D136" s="45" t="s">
        <v>59</v>
      </c>
      <c r="E136" s="41"/>
      <c r="F136" s="41"/>
      <c r="G136" s="49"/>
      <c r="H136" s="76"/>
      <c r="I136" s="238"/>
      <c r="J136" s="83">
        <f>IF('4.) Yearly Budget'!$K$18&gt;0,'4.) Yearly Budget'!K136,'4.) Yearly Budget'!J136)</f>
        <v>0</v>
      </c>
      <c r="K136" s="340">
        <f t="shared" si="72"/>
        <v>0</v>
      </c>
      <c r="L136" s="81"/>
      <c r="M136" s="83">
        <f>IF('4.) Yearly Budget'!$N$18&gt;0,'4.) Yearly Budget'!N136,'4.) Yearly Budget'!M136)</f>
        <v>0</v>
      </c>
      <c r="N136" s="340">
        <f t="shared" si="73"/>
        <v>0</v>
      </c>
      <c r="O136" s="81"/>
      <c r="P136" s="83">
        <f>IF('4.) Yearly Budget'!$Q$18&gt;0,'4.) Yearly Budget'!Q136,'4.) Yearly Budget'!P136)</f>
        <v>0</v>
      </c>
      <c r="Q136" s="340">
        <f t="shared" si="74"/>
        <v>0</v>
      </c>
      <c r="R136" s="81"/>
      <c r="S136" s="83">
        <f>IF('4.) Yearly Budget'!$T$18&gt;0,'4.) Yearly Budget'!T136,'4.) Yearly Budget'!S136)</f>
        <v>0</v>
      </c>
      <c r="T136" s="86">
        <f t="shared" si="75"/>
        <v>0</v>
      </c>
      <c r="U136" s="239">
        <f t="shared" si="76"/>
        <v>0</v>
      </c>
      <c r="V136" s="337">
        <f t="shared" si="77"/>
        <v>0</v>
      </c>
      <c r="W136" s="337">
        <f t="shared" si="78"/>
        <v>0</v>
      </c>
      <c r="X136" s="337">
        <f>'4.) Yearly Budget'!W136</f>
        <v>0</v>
      </c>
      <c r="Y136" s="338">
        <f t="shared" si="79"/>
        <v>0</v>
      </c>
      <c r="Z136" s="339">
        <f>SUM(IF(I$18&lt;&gt;0,'4.) Yearly Budget'!J136,0)+IF(L$18&lt;&gt;0,'4.) Yearly Budget'!M136,0)+IF(O$18&lt;&gt;0,'4.) Yearly Budget'!P136,0)+IF(R$18&lt;&gt;0,'4.) Yearly Budget'!S136,0))</f>
        <v>0</v>
      </c>
      <c r="AA136" s="339">
        <f t="shared" si="80"/>
        <v>0</v>
      </c>
      <c r="AB136" s="339">
        <f>'4.) Yearly Budget'!V136</f>
        <v>0</v>
      </c>
      <c r="AC136" s="340">
        <f t="shared" si="81"/>
        <v>0</v>
      </c>
      <c r="AD136" s="339">
        <f>IF(U$6&lt;&gt;0,'4.) Yearly Budget'!I136/$AM$18,0)</f>
        <v>0</v>
      </c>
      <c r="AE136" s="86">
        <f t="shared" si="82"/>
        <v>0</v>
      </c>
      <c r="AF136" s="253"/>
    </row>
    <row r="137" spans="1:32" s="53" customFormat="1">
      <c r="A137" s="221">
        <f t="shared" si="83"/>
        <v>137</v>
      </c>
      <c r="B137" s="77"/>
      <c r="D137" s="45" t="s">
        <v>74</v>
      </c>
      <c r="E137" s="41"/>
      <c r="F137" s="41"/>
      <c r="G137" s="49"/>
      <c r="H137" s="76"/>
      <c r="I137" s="238"/>
      <c r="J137" s="83">
        <f>IF('4.) Yearly Budget'!$K$18&gt;0,'4.) Yearly Budget'!K137,'4.) Yearly Budget'!J137)</f>
        <v>0</v>
      </c>
      <c r="K137" s="340">
        <f t="shared" si="72"/>
        <v>0</v>
      </c>
      <c r="L137" s="81"/>
      <c r="M137" s="83">
        <f>IF('4.) Yearly Budget'!$N$18&gt;0,'4.) Yearly Budget'!N137,'4.) Yearly Budget'!M137)</f>
        <v>0</v>
      </c>
      <c r="N137" s="340">
        <f t="shared" si="73"/>
        <v>0</v>
      </c>
      <c r="O137" s="81"/>
      <c r="P137" s="83">
        <f>IF('4.) Yearly Budget'!$Q$18&gt;0,'4.) Yearly Budget'!Q137,'4.) Yearly Budget'!P137)</f>
        <v>0</v>
      </c>
      <c r="Q137" s="340">
        <f t="shared" si="74"/>
        <v>0</v>
      </c>
      <c r="R137" s="81"/>
      <c r="S137" s="83">
        <f>IF('4.) Yearly Budget'!$T$18&gt;0,'4.) Yearly Budget'!T137,'4.) Yearly Budget'!S137)</f>
        <v>0</v>
      </c>
      <c r="T137" s="86">
        <f t="shared" si="75"/>
        <v>0</v>
      </c>
      <c r="U137" s="239">
        <f t="shared" si="76"/>
        <v>0</v>
      </c>
      <c r="V137" s="337">
        <f t="shared" si="77"/>
        <v>0</v>
      </c>
      <c r="W137" s="337">
        <f t="shared" si="78"/>
        <v>0</v>
      </c>
      <c r="X137" s="337">
        <f>'4.) Yearly Budget'!W137</f>
        <v>0</v>
      </c>
      <c r="Y137" s="338">
        <f t="shared" si="79"/>
        <v>0</v>
      </c>
      <c r="Z137" s="339">
        <f>SUM(IF(I$18&lt;&gt;0,'4.) Yearly Budget'!J137,0)+IF(L$18&lt;&gt;0,'4.) Yearly Budget'!M137,0)+IF(O$18&lt;&gt;0,'4.) Yearly Budget'!P137,0)+IF(R$18&lt;&gt;0,'4.) Yearly Budget'!S137,0))</f>
        <v>0</v>
      </c>
      <c r="AA137" s="339">
        <f t="shared" si="80"/>
        <v>0</v>
      </c>
      <c r="AB137" s="339">
        <f>'4.) Yearly Budget'!V137</f>
        <v>0</v>
      </c>
      <c r="AC137" s="340">
        <f t="shared" si="81"/>
        <v>0</v>
      </c>
      <c r="AD137" s="339">
        <f>IF(U$6&lt;&gt;0,'4.) Yearly Budget'!I137/$AM$18,0)</f>
        <v>0</v>
      </c>
      <c r="AE137" s="86">
        <f t="shared" si="82"/>
        <v>0</v>
      </c>
      <c r="AF137" s="253"/>
    </row>
    <row r="138" spans="1:32" s="53" customFormat="1">
      <c r="A138" s="221">
        <f t="shared" si="83"/>
        <v>138</v>
      </c>
      <c r="B138" s="77"/>
      <c r="D138" s="45" t="s">
        <v>61</v>
      </c>
      <c r="E138" s="41"/>
      <c r="F138" s="41"/>
      <c r="G138" s="49"/>
      <c r="H138" s="76"/>
      <c r="I138" s="238"/>
      <c r="J138" s="83">
        <f>IF('4.) Yearly Budget'!$K$18&gt;0,'4.) Yearly Budget'!K138,'4.) Yearly Budget'!J138)</f>
        <v>0</v>
      </c>
      <c r="K138" s="340">
        <f t="shared" si="72"/>
        <v>0</v>
      </c>
      <c r="L138" s="81"/>
      <c r="M138" s="83">
        <f>IF('4.) Yearly Budget'!$N$18&gt;0,'4.) Yearly Budget'!N138,'4.) Yearly Budget'!M138)</f>
        <v>0</v>
      </c>
      <c r="N138" s="340">
        <f t="shared" si="73"/>
        <v>0</v>
      </c>
      <c r="O138" s="81"/>
      <c r="P138" s="83">
        <f>IF('4.) Yearly Budget'!$Q$18&gt;0,'4.) Yearly Budget'!Q138,'4.) Yearly Budget'!P138)</f>
        <v>0</v>
      </c>
      <c r="Q138" s="340">
        <f t="shared" si="74"/>
        <v>0</v>
      </c>
      <c r="R138" s="81"/>
      <c r="S138" s="83">
        <f>IF('4.) Yearly Budget'!$T$18&gt;0,'4.) Yearly Budget'!T138,'4.) Yearly Budget'!S138)</f>
        <v>0</v>
      </c>
      <c r="T138" s="86">
        <f t="shared" si="75"/>
        <v>0</v>
      </c>
      <c r="U138" s="239">
        <f t="shared" si="76"/>
        <v>0</v>
      </c>
      <c r="V138" s="337">
        <f t="shared" si="77"/>
        <v>0</v>
      </c>
      <c r="W138" s="337">
        <f t="shared" si="78"/>
        <v>0</v>
      </c>
      <c r="X138" s="337">
        <f>'4.) Yearly Budget'!W138</f>
        <v>0</v>
      </c>
      <c r="Y138" s="338">
        <f t="shared" si="79"/>
        <v>0</v>
      </c>
      <c r="Z138" s="339">
        <f>SUM(IF(I$18&lt;&gt;0,'4.) Yearly Budget'!J138,0)+IF(L$18&lt;&gt;0,'4.) Yearly Budget'!M138,0)+IF(O$18&lt;&gt;0,'4.) Yearly Budget'!P138,0)+IF(R$18&lt;&gt;0,'4.) Yearly Budget'!S138,0))</f>
        <v>0</v>
      </c>
      <c r="AA138" s="339">
        <f t="shared" si="80"/>
        <v>0</v>
      </c>
      <c r="AB138" s="339">
        <f>'4.) Yearly Budget'!V138</f>
        <v>0</v>
      </c>
      <c r="AC138" s="340">
        <f t="shared" si="81"/>
        <v>0</v>
      </c>
      <c r="AD138" s="339">
        <f>IF(U$6&lt;&gt;0,'4.) Yearly Budget'!I138/$AM$18,0)</f>
        <v>0</v>
      </c>
      <c r="AE138" s="86">
        <f t="shared" si="82"/>
        <v>0</v>
      </c>
      <c r="AF138" s="253"/>
    </row>
    <row r="139" spans="1:32" s="53" customFormat="1">
      <c r="A139" s="221">
        <f t="shared" si="83"/>
        <v>139</v>
      </c>
      <c r="B139" s="77"/>
      <c r="D139" s="45" t="s">
        <v>41</v>
      </c>
      <c r="E139" s="41"/>
      <c r="F139" s="41"/>
      <c r="G139" s="49"/>
      <c r="H139" s="76"/>
      <c r="I139" s="238"/>
      <c r="J139" s="83">
        <f>IF('4.) Yearly Budget'!$K$18&gt;0,'4.) Yearly Budget'!K139,'4.) Yearly Budget'!J139)</f>
        <v>0</v>
      </c>
      <c r="K139" s="340">
        <f t="shared" si="72"/>
        <v>0</v>
      </c>
      <c r="L139" s="81"/>
      <c r="M139" s="83">
        <f>IF('4.) Yearly Budget'!$N$18&gt;0,'4.) Yearly Budget'!N139,'4.) Yearly Budget'!M139)</f>
        <v>0</v>
      </c>
      <c r="N139" s="340">
        <f t="shared" si="73"/>
        <v>0</v>
      </c>
      <c r="O139" s="81"/>
      <c r="P139" s="83">
        <f>IF('4.) Yearly Budget'!$Q$18&gt;0,'4.) Yearly Budget'!Q139,'4.) Yearly Budget'!P139)</f>
        <v>0</v>
      </c>
      <c r="Q139" s="340">
        <f t="shared" si="74"/>
        <v>0</v>
      </c>
      <c r="R139" s="81"/>
      <c r="S139" s="83">
        <f>IF('4.) Yearly Budget'!$T$18&gt;0,'4.) Yearly Budget'!T139,'4.) Yearly Budget'!S139)</f>
        <v>0</v>
      </c>
      <c r="T139" s="86">
        <f t="shared" si="75"/>
        <v>0</v>
      </c>
      <c r="U139" s="239">
        <f t="shared" si="76"/>
        <v>0</v>
      </c>
      <c r="V139" s="337">
        <f t="shared" si="77"/>
        <v>0</v>
      </c>
      <c r="W139" s="337">
        <f t="shared" si="78"/>
        <v>0</v>
      </c>
      <c r="X139" s="337">
        <f>'4.) Yearly Budget'!W139</f>
        <v>0</v>
      </c>
      <c r="Y139" s="338">
        <f t="shared" si="79"/>
        <v>0</v>
      </c>
      <c r="Z139" s="339">
        <f>SUM(IF(I$18&lt;&gt;0,'4.) Yearly Budget'!J139,0)+IF(L$18&lt;&gt;0,'4.) Yearly Budget'!M139,0)+IF(O$18&lt;&gt;0,'4.) Yearly Budget'!P139,0)+IF(R$18&lt;&gt;0,'4.) Yearly Budget'!S139,0))</f>
        <v>0</v>
      </c>
      <c r="AA139" s="339">
        <f t="shared" si="80"/>
        <v>0</v>
      </c>
      <c r="AB139" s="339">
        <f>'4.) Yearly Budget'!V139</f>
        <v>0</v>
      </c>
      <c r="AC139" s="340">
        <f t="shared" si="81"/>
        <v>0</v>
      </c>
      <c r="AD139" s="339">
        <f>IF(U$6&lt;&gt;0,'4.) Yearly Budget'!I139/$AM$18,0)</f>
        <v>0</v>
      </c>
      <c r="AE139" s="86">
        <f t="shared" si="82"/>
        <v>0</v>
      </c>
      <c r="AF139" s="253"/>
    </row>
    <row r="140" spans="1:32" s="53" customFormat="1" ht="17.25">
      <c r="A140" s="221">
        <f t="shared" si="83"/>
        <v>140</v>
      </c>
      <c r="B140" s="77"/>
      <c r="D140" s="41" t="s">
        <v>29</v>
      </c>
      <c r="E140" s="41"/>
      <c r="F140" s="41"/>
      <c r="G140" s="49"/>
      <c r="H140" s="76"/>
      <c r="I140" s="246"/>
      <c r="J140" s="350">
        <f>IF('4.) Yearly Budget'!$K$18&gt;0,'4.) Yearly Budget'!K140,'4.) Yearly Budget'!J140)</f>
        <v>0</v>
      </c>
      <c r="K140" s="350">
        <f t="shared" si="72"/>
        <v>0</v>
      </c>
      <c r="L140" s="87"/>
      <c r="M140" s="499">
        <f>IF('4.) Yearly Budget'!$N$18&gt;0,'4.) Yearly Budget'!N140,'4.) Yearly Budget'!M140)</f>
        <v>0</v>
      </c>
      <c r="N140" s="350">
        <f t="shared" si="73"/>
        <v>0</v>
      </c>
      <c r="O140" s="87"/>
      <c r="P140" s="499">
        <f>IF('4.) Yearly Budget'!$Q$18&gt;0,'4.) Yearly Budget'!Q140,'4.) Yearly Budget'!P140)</f>
        <v>0</v>
      </c>
      <c r="Q140" s="350">
        <f t="shared" si="74"/>
        <v>0</v>
      </c>
      <c r="R140" s="87"/>
      <c r="S140" s="499">
        <f>IF('4.) Yearly Budget'!$T$18&gt;0,'4.) Yearly Budget'!T140,'4.) Yearly Budget'!S140)</f>
        <v>0</v>
      </c>
      <c r="T140" s="346">
        <f t="shared" si="75"/>
        <v>0</v>
      </c>
      <c r="U140" s="247">
        <f t="shared" si="76"/>
        <v>0</v>
      </c>
      <c r="V140" s="347">
        <f t="shared" si="77"/>
        <v>0</v>
      </c>
      <c r="W140" s="347">
        <f t="shared" si="78"/>
        <v>0</v>
      </c>
      <c r="X140" s="347">
        <f>'4.) Yearly Budget'!W140</f>
        <v>0</v>
      </c>
      <c r="Y140" s="348">
        <f t="shared" si="79"/>
        <v>0</v>
      </c>
      <c r="Z140" s="349">
        <f>SUM(IF(I$18&lt;&gt;0,'4.) Yearly Budget'!J140,0)+IF(L$18&lt;&gt;0,'4.) Yearly Budget'!M140,0)+IF(O$18&lt;&gt;0,'4.) Yearly Budget'!P140,0)+IF(R$18&lt;&gt;0,'4.) Yearly Budget'!S140,0))</f>
        <v>0</v>
      </c>
      <c r="AA140" s="349">
        <f t="shared" si="80"/>
        <v>0</v>
      </c>
      <c r="AB140" s="349">
        <f>'4.) Yearly Budget'!V140</f>
        <v>0</v>
      </c>
      <c r="AC140" s="350">
        <f t="shared" si="81"/>
        <v>0</v>
      </c>
      <c r="AD140" s="349">
        <f>IF(U$6&lt;&gt;0,'4.) Yearly Budget'!I140/$AM$18,0)</f>
        <v>0</v>
      </c>
      <c r="AE140" s="346">
        <f t="shared" si="82"/>
        <v>0</v>
      </c>
      <c r="AF140" s="253"/>
    </row>
    <row r="141" spans="1:32" s="53" customFormat="1">
      <c r="A141" s="221">
        <f t="shared" si="83"/>
        <v>141</v>
      </c>
      <c r="B141" s="77"/>
      <c r="C141" s="46" t="s">
        <v>88</v>
      </c>
      <c r="D141" s="41"/>
      <c r="E141" s="41"/>
      <c r="F141" s="41"/>
      <c r="G141" s="49"/>
      <c r="H141" s="76"/>
      <c r="I141" s="243">
        <f t="shared" ref="I141:AE141" si="84">SUM(I121:I140)</f>
        <v>0</v>
      </c>
      <c r="J141" s="133">
        <f t="shared" si="84"/>
        <v>0</v>
      </c>
      <c r="K141" s="351">
        <f t="shared" si="84"/>
        <v>0</v>
      </c>
      <c r="L141" s="83">
        <f t="shared" si="84"/>
        <v>0</v>
      </c>
      <c r="M141" s="133">
        <f t="shared" si="84"/>
        <v>0</v>
      </c>
      <c r="N141" s="351">
        <f t="shared" si="84"/>
        <v>0</v>
      </c>
      <c r="O141" s="83">
        <f t="shared" si="84"/>
        <v>0</v>
      </c>
      <c r="P141" s="133">
        <f t="shared" si="84"/>
        <v>0</v>
      </c>
      <c r="Q141" s="351">
        <f t="shared" si="84"/>
        <v>0</v>
      </c>
      <c r="R141" s="83">
        <f t="shared" si="84"/>
        <v>0</v>
      </c>
      <c r="S141" s="133">
        <f t="shared" si="84"/>
        <v>0</v>
      </c>
      <c r="T141" s="84">
        <f t="shared" si="84"/>
        <v>0</v>
      </c>
      <c r="U141" s="239">
        <f t="shared" si="84"/>
        <v>0</v>
      </c>
      <c r="V141" s="133">
        <f t="shared" si="84"/>
        <v>0</v>
      </c>
      <c r="W141" s="133">
        <f t="shared" si="84"/>
        <v>0</v>
      </c>
      <c r="X141" s="133">
        <f t="shared" si="84"/>
        <v>0</v>
      </c>
      <c r="Y141" s="341">
        <f t="shared" si="84"/>
        <v>0</v>
      </c>
      <c r="Z141" s="83">
        <f t="shared" si="84"/>
        <v>0</v>
      </c>
      <c r="AA141" s="83">
        <f t="shared" si="84"/>
        <v>0</v>
      </c>
      <c r="AB141" s="83">
        <f t="shared" si="84"/>
        <v>0</v>
      </c>
      <c r="AC141" s="351">
        <f t="shared" si="84"/>
        <v>0</v>
      </c>
      <c r="AD141" s="83">
        <f t="shared" si="84"/>
        <v>0</v>
      </c>
      <c r="AE141" s="86">
        <f t="shared" si="84"/>
        <v>0</v>
      </c>
      <c r="AF141" s="253"/>
    </row>
    <row r="142" spans="1:32" s="53" customFormat="1" ht="7.5" customHeight="1">
      <c r="A142" s="221">
        <f t="shared" si="83"/>
        <v>142</v>
      </c>
      <c r="B142" s="77"/>
      <c r="D142" s="33"/>
      <c r="E142" s="33"/>
      <c r="F142" s="33"/>
      <c r="G142" s="47"/>
      <c r="H142" s="76"/>
      <c r="I142" s="88"/>
      <c r="J142" s="88"/>
      <c r="K142" s="88"/>
      <c r="L142" s="88"/>
      <c r="M142" s="88"/>
      <c r="N142" s="88"/>
      <c r="O142" s="88"/>
      <c r="P142" s="88"/>
      <c r="Q142" s="88"/>
      <c r="R142" s="88"/>
      <c r="S142" s="88"/>
      <c r="T142" s="89"/>
      <c r="U142" s="88"/>
      <c r="V142" s="88"/>
      <c r="W142" s="88"/>
      <c r="X142" s="88"/>
      <c r="Y142" s="88"/>
      <c r="Z142" s="88"/>
      <c r="AA142" s="88"/>
      <c r="AB142" s="88"/>
      <c r="AC142" s="88"/>
      <c r="AD142" s="88"/>
      <c r="AE142" s="89"/>
      <c r="AF142" s="253"/>
    </row>
    <row r="143" spans="1:32" s="53" customFormat="1">
      <c r="A143" s="221">
        <f t="shared" si="83"/>
        <v>143</v>
      </c>
      <c r="B143" s="77"/>
      <c r="C143" s="100" t="s">
        <v>89</v>
      </c>
      <c r="D143" s="41"/>
      <c r="E143" s="103"/>
      <c r="F143" s="103"/>
      <c r="G143" s="104"/>
      <c r="H143" s="76"/>
      <c r="I143" s="79"/>
      <c r="J143" s="79"/>
      <c r="K143" s="79"/>
      <c r="L143" s="79"/>
      <c r="M143" s="79"/>
      <c r="N143" s="79"/>
      <c r="O143" s="79"/>
      <c r="P143" s="79"/>
      <c r="Q143" s="79"/>
      <c r="R143" s="79"/>
      <c r="S143" s="79"/>
      <c r="T143" s="80"/>
      <c r="U143" s="79"/>
      <c r="V143" s="79"/>
      <c r="W143" s="79"/>
      <c r="X143" s="79"/>
      <c r="Y143" s="79"/>
      <c r="Z143" s="79"/>
      <c r="AA143" s="79"/>
      <c r="AB143" s="79"/>
      <c r="AC143" s="79"/>
      <c r="AD143" s="79"/>
      <c r="AE143" s="80"/>
      <c r="AF143" s="253"/>
    </row>
    <row r="144" spans="1:32" s="53" customFormat="1">
      <c r="A144" s="221">
        <f t="shared" si="83"/>
        <v>144</v>
      </c>
      <c r="B144" s="77"/>
      <c r="C144" s="41"/>
      <c r="D144" s="45" t="s">
        <v>3</v>
      </c>
      <c r="E144" s="44"/>
      <c r="F144" s="44"/>
      <c r="G144" s="104"/>
      <c r="H144" s="76"/>
      <c r="I144" s="238"/>
      <c r="J144" s="83">
        <f>IF('4.) Yearly Budget'!$K$18&gt;0,'4.) Yearly Budget'!K144,'4.) Yearly Budget'!J144)</f>
        <v>0</v>
      </c>
      <c r="K144" s="340">
        <f t="shared" ref="K144:K150" si="85">IF(I$18&lt;&gt;0,J144-I144,0)</f>
        <v>0</v>
      </c>
      <c r="L144" s="81"/>
      <c r="M144" s="83">
        <f>IF('4.) Yearly Budget'!$N$18&gt;0,'4.) Yearly Budget'!N144,'4.) Yearly Budget'!M144)</f>
        <v>0</v>
      </c>
      <c r="N144" s="340">
        <f t="shared" ref="N144:N150" si="86">IF(L$18&lt;&gt;0,M144-L144,0)</f>
        <v>0</v>
      </c>
      <c r="O144" s="81"/>
      <c r="P144" s="83">
        <f>IF('4.) Yearly Budget'!$Q$18&gt;0,'4.) Yearly Budget'!Q144,'4.) Yearly Budget'!P144)</f>
        <v>0</v>
      </c>
      <c r="Q144" s="340">
        <f t="shared" ref="Q144:Q150" si="87">IF(O$18&lt;&gt;0,P144-O144,0)</f>
        <v>0</v>
      </c>
      <c r="R144" s="81"/>
      <c r="S144" s="83">
        <f>IF('4.) Yearly Budget'!$T$18&gt;0,'4.) Yearly Budget'!T144,'4.) Yearly Budget'!S144)</f>
        <v>0</v>
      </c>
      <c r="T144" s="86">
        <f t="shared" ref="T144:T150" si="88">IF(R$18&lt;&gt;0,S144-R144,0)</f>
        <v>0</v>
      </c>
      <c r="U144" s="239">
        <f t="shared" ref="U144:U150" si="89">IF(I$6&lt;&gt;0,I144,0)+IF(L$6&lt;&gt;0,L144,0)+IF(O$6&lt;&gt;0,O144,0)+IF(R$6&lt;&gt;0,R144,0)</f>
        <v>0</v>
      </c>
      <c r="V144" s="337">
        <f t="shared" ref="V144:V150" si="90">SUM(IF(I$6&lt;&gt;0,J144,0)+IF(L$6&lt;&gt;0,M144,0)+IF(O$6&lt;&gt;0,P144,0)+IF(R$6&lt;&gt;0,S144,0))</f>
        <v>0</v>
      </c>
      <c r="W144" s="337">
        <f t="shared" ref="W144:W150" si="91">V144-U144</f>
        <v>0</v>
      </c>
      <c r="X144" s="337">
        <f>'4.) Yearly Budget'!W144</f>
        <v>0</v>
      </c>
      <c r="Y144" s="338">
        <f t="shared" ref="Y144:Y150" si="92">IF(U144&lt;&gt;0,X144-U144,IF(U144=0,X144,0))</f>
        <v>0</v>
      </c>
      <c r="Z144" s="339">
        <f>SUM(IF(I$18&lt;&gt;0,'4.) Yearly Budget'!J144,0)+IF(L$18&lt;&gt;0,'4.) Yearly Budget'!M144,0)+IF(O$18&lt;&gt;0,'4.) Yearly Budget'!P144,0)+IF(R$18&lt;&gt;0,'4.) Yearly Budget'!S144,0))</f>
        <v>0</v>
      </c>
      <c r="AA144" s="339">
        <f t="shared" ref="AA144:AA150" si="93">Z144-U144</f>
        <v>0</v>
      </c>
      <c r="AB144" s="339">
        <f>'4.) Yearly Budget'!V144</f>
        <v>0</v>
      </c>
      <c r="AC144" s="340">
        <f t="shared" ref="AC144:AC150" si="94">IF(U144&lt;&gt;0,AB144-U144,IF(U144=0,AB144,0))</f>
        <v>0</v>
      </c>
      <c r="AD144" s="339">
        <f>IF(U$6&lt;&gt;0,'4.) Yearly Budget'!I144/$AM$18,0)</f>
        <v>0</v>
      </c>
      <c r="AE144" s="86">
        <f t="shared" ref="AE144:AE150" si="95">AD144-U144</f>
        <v>0</v>
      </c>
      <c r="AF144" s="253"/>
    </row>
    <row r="145" spans="1:32" s="53" customFormat="1">
      <c r="A145" s="221">
        <f t="shared" si="83"/>
        <v>145</v>
      </c>
      <c r="B145" s="77"/>
      <c r="C145" s="41"/>
      <c r="D145" s="45" t="s">
        <v>4</v>
      </c>
      <c r="E145" s="44"/>
      <c r="F145" s="44"/>
      <c r="G145" s="104"/>
      <c r="H145" s="76"/>
      <c r="I145" s="238"/>
      <c r="J145" s="83">
        <f>IF('4.) Yearly Budget'!$K$18&gt;0,'4.) Yearly Budget'!K145,'4.) Yearly Budget'!J145)</f>
        <v>0</v>
      </c>
      <c r="K145" s="340">
        <f t="shared" si="85"/>
        <v>0</v>
      </c>
      <c r="L145" s="81"/>
      <c r="M145" s="83">
        <f>IF('4.) Yearly Budget'!$N$18&gt;0,'4.) Yearly Budget'!N145,'4.) Yearly Budget'!M145)</f>
        <v>0</v>
      </c>
      <c r="N145" s="340">
        <f t="shared" si="86"/>
        <v>0</v>
      </c>
      <c r="O145" s="81"/>
      <c r="P145" s="83">
        <f>IF('4.) Yearly Budget'!$Q$18&gt;0,'4.) Yearly Budget'!Q145,'4.) Yearly Budget'!P145)</f>
        <v>0</v>
      </c>
      <c r="Q145" s="340">
        <f t="shared" si="87"/>
        <v>0</v>
      </c>
      <c r="R145" s="81"/>
      <c r="S145" s="83">
        <f>IF('4.) Yearly Budget'!$T$18&gt;0,'4.) Yearly Budget'!T145,'4.) Yearly Budget'!S145)</f>
        <v>0</v>
      </c>
      <c r="T145" s="86">
        <f t="shared" si="88"/>
        <v>0</v>
      </c>
      <c r="U145" s="239">
        <f t="shared" si="89"/>
        <v>0</v>
      </c>
      <c r="V145" s="337">
        <f t="shared" si="90"/>
        <v>0</v>
      </c>
      <c r="W145" s="337">
        <f t="shared" si="91"/>
        <v>0</v>
      </c>
      <c r="X145" s="337">
        <f>'4.) Yearly Budget'!W145</f>
        <v>0</v>
      </c>
      <c r="Y145" s="338">
        <f t="shared" si="92"/>
        <v>0</v>
      </c>
      <c r="Z145" s="339">
        <f>SUM(IF(I$18&lt;&gt;0,'4.) Yearly Budget'!J145,0)+IF(L$18&lt;&gt;0,'4.) Yearly Budget'!M145,0)+IF(O$18&lt;&gt;0,'4.) Yearly Budget'!P145,0)+IF(R$18&lt;&gt;0,'4.) Yearly Budget'!S145,0))</f>
        <v>0</v>
      </c>
      <c r="AA145" s="339">
        <f t="shared" si="93"/>
        <v>0</v>
      </c>
      <c r="AB145" s="339">
        <f>'4.) Yearly Budget'!V145</f>
        <v>0</v>
      </c>
      <c r="AC145" s="340">
        <f t="shared" si="94"/>
        <v>0</v>
      </c>
      <c r="AD145" s="339">
        <f>IF(U$6&lt;&gt;0,'4.) Yearly Budget'!I145/$AM$18,0)</f>
        <v>0</v>
      </c>
      <c r="AE145" s="86">
        <f t="shared" si="95"/>
        <v>0</v>
      </c>
      <c r="AF145" s="253"/>
    </row>
    <row r="146" spans="1:32" s="53" customFormat="1">
      <c r="A146" s="221">
        <f t="shared" si="83"/>
        <v>146</v>
      </c>
      <c r="B146" s="77"/>
      <c r="C146" s="41"/>
      <c r="D146" s="41" t="s">
        <v>346</v>
      </c>
      <c r="E146" s="44"/>
      <c r="F146" s="44"/>
      <c r="G146" s="104"/>
      <c r="H146" s="76"/>
      <c r="I146" s="238"/>
      <c r="J146" s="83">
        <f>IF('4.) Yearly Budget'!$K$18&gt;0,'4.) Yearly Budget'!K146,'4.) Yearly Budget'!J146)</f>
        <v>0</v>
      </c>
      <c r="K146" s="340">
        <f t="shared" si="85"/>
        <v>0</v>
      </c>
      <c r="L146" s="81"/>
      <c r="M146" s="83">
        <f>IF('4.) Yearly Budget'!$N$18&gt;0,'4.) Yearly Budget'!N146,'4.) Yearly Budget'!M146)</f>
        <v>0</v>
      </c>
      <c r="N146" s="340">
        <f t="shared" si="86"/>
        <v>0</v>
      </c>
      <c r="O146" s="81"/>
      <c r="P146" s="83">
        <f>IF('4.) Yearly Budget'!$Q$18&gt;0,'4.) Yearly Budget'!Q146,'4.) Yearly Budget'!P146)</f>
        <v>0</v>
      </c>
      <c r="Q146" s="340">
        <f t="shared" si="87"/>
        <v>0</v>
      </c>
      <c r="R146" s="81"/>
      <c r="S146" s="83">
        <f>IF('4.) Yearly Budget'!$T$18&gt;0,'4.) Yearly Budget'!T146,'4.) Yearly Budget'!S146)</f>
        <v>0</v>
      </c>
      <c r="T146" s="86">
        <f t="shared" si="88"/>
        <v>0</v>
      </c>
      <c r="U146" s="239">
        <f t="shared" si="89"/>
        <v>0</v>
      </c>
      <c r="V146" s="337">
        <f t="shared" si="90"/>
        <v>0</v>
      </c>
      <c r="W146" s="337">
        <f t="shared" si="91"/>
        <v>0</v>
      </c>
      <c r="X146" s="337">
        <f>'4.) Yearly Budget'!W146</f>
        <v>0</v>
      </c>
      <c r="Y146" s="338">
        <f t="shared" si="92"/>
        <v>0</v>
      </c>
      <c r="Z146" s="339">
        <f>SUM(IF(I$18&lt;&gt;0,'4.) Yearly Budget'!J146,0)+IF(L$18&lt;&gt;0,'4.) Yearly Budget'!M146,0)+IF(O$18&lt;&gt;0,'4.) Yearly Budget'!P146,0)+IF(R$18&lt;&gt;0,'4.) Yearly Budget'!S146,0))</f>
        <v>0</v>
      </c>
      <c r="AA146" s="339">
        <f t="shared" si="93"/>
        <v>0</v>
      </c>
      <c r="AB146" s="339">
        <f>'4.) Yearly Budget'!V146</f>
        <v>0</v>
      </c>
      <c r="AC146" s="340">
        <f t="shared" si="94"/>
        <v>0</v>
      </c>
      <c r="AD146" s="339">
        <f>IF(U$6&lt;&gt;0,'4.) Yearly Budget'!I146/$AM$18,0)</f>
        <v>0</v>
      </c>
      <c r="AE146" s="86">
        <f t="shared" si="95"/>
        <v>0</v>
      </c>
      <c r="AF146" s="253"/>
    </row>
    <row r="147" spans="1:32" s="53" customFormat="1">
      <c r="A147" s="221">
        <f t="shared" si="83"/>
        <v>147</v>
      </c>
      <c r="B147" s="77"/>
      <c r="C147" s="41"/>
      <c r="D147" s="41" t="s">
        <v>54</v>
      </c>
      <c r="E147" s="44"/>
      <c r="F147" s="44"/>
      <c r="G147" s="104"/>
      <c r="H147" s="76"/>
      <c r="I147" s="238"/>
      <c r="J147" s="83">
        <f>IF('4.) Yearly Budget'!$K$18&gt;0,'4.) Yearly Budget'!K147,'4.) Yearly Budget'!J147)</f>
        <v>0</v>
      </c>
      <c r="K147" s="340">
        <f t="shared" si="85"/>
        <v>0</v>
      </c>
      <c r="L147" s="81"/>
      <c r="M147" s="83">
        <f>IF('4.) Yearly Budget'!$N$18&gt;0,'4.) Yearly Budget'!N147,'4.) Yearly Budget'!M147)</f>
        <v>0</v>
      </c>
      <c r="N147" s="340">
        <f t="shared" si="86"/>
        <v>0</v>
      </c>
      <c r="O147" s="81"/>
      <c r="P147" s="83">
        <f>IF('4.) Yearly Budget'!$Q$18&gt;0,'4.) Yearly Budget'!Q147,'4.) Yearly Budget'!P147)</f>
        <v>0</v>
      </c>
      <c r="Q147" s="340">
        <f t="shared" si="87"/>
        <v>0</v>
      </c>
      <c r="R147" s="81"/>
      <c r="S147" s="83">
        <f>IF('4.) Yearly Budget'!$T$18&gt;0,'4.) Yearly Budget'!T147,'4.) Yearly Budget'!S147)</f>
        <v>0</v>
      </c>
      <c r="T147" s="86">
        <f t="shared" si="88"/>
        <v>0</v>
      </c>
      <c r="U147" s="239">
        <f t="shared" si="89"/>
        <v>0</v>
      </c>
      <c r="V147" s="337">
        <f t="shared" si="90"/>
        <v>0</v>
      </c>
      <c r="W147" s="337">
        <f t="shared" si="91"/>
        <v>0</v>
      </c>
      <c r="X147" s="337">
        <f>'4.) Yearly Budget'!W147</f>
        <v>0</v>
      </c>
      <c r="Y147" s="338">
        <f t="shared" si="92"/>
        <v>0</v>
      </c>
      <c r="Z147" s="339">
        <f>SUM(IF(I$18&lt;&gt;0,'4.) Yearly Budget'!J147,0)+IF(L$18&lt;&gt;0,'4.) Yearly Budget'!M147,0)+IF(O$18&lt;&gt;0,'4.) Yearly Budget'!P147,0)+IF(R$18&lt;&gt;0,'4.) Yearly Budget'!S147,0))</f>
        <v>0</v>
      </c>
      <c r="AA147" s="339">
        <f t="shared" si="93"/>
        <v>0</v>
      </c>
      <c r="AB147" s="339">
        <f>'4.) Yearly Budget'!V147</f>
        <v>0</v>
      </c>
      <c r="AC147" s="340">
        <f t="shared" si="94"/>
        <v>0</v>
      </c>
      <c r="AD147" s="339">
        <f>IF(U$6&lt;&gt;0,'4.) Yearly Budget'!I147/$AM$18,0)</f>
        <v>0</v>
      </c>
      <c r="AE147" s="86">
        <f t="shared" si="95"/>
        <v>0</v>
      </c>
      <c r="AF147" s="253"/>
    </row>
    <row r="148" spans="1:32" s="53" customFormat="1">
      <c r="A148" s="221">
        <f t="shared" si="83"/>
        <v>148</v>
      </c>
      <c r="B148" s="77"/>
      <c r="C148" s="41"/>
      <c r="D148" s="41" t="s">
        <v>56</v>
      </c>
      <c r="E148" s="44"/>
      <c r="F148" s="44"/>
      <c r="G148" s="104"/>
      <c r="H148" s="76"/>
      <c r="I148" s="238"/>
      <c r="J148" s="83">
        <f>IF('4.) Yearly Budget'!$K$18&gt;0,'4.) Yearly Budget'!K148,'4.) Yearly Budget'!J148)</f>
        <v>0</v>
      </c>
      <c r="K148" s="340">
        <f t="shared" si="85"/>
        <v>0</v>
      </c>
      <c r="L148" s="81"/>
      <c r="M148" s="83">
        <f>IF('4.) Yearly Budget'!$N$18&gt;0,'4.) Yearly Budget'!N148,'4.) Yearly Budget'!M148)</f>
        <v>0</v>
      </c>
      <c r="N148" s="340">
        <f t="shared" si="86"/>
        <v>0</v>
      </c>
      <c r="O148" s="81"/>
      <c r="P148" s="83">
        <f>IF('4.) Yearly Budget'!$Q$18&gt;0,'4.) Yearly Budget'!Q148,'4.) Yearly Budget'!P148)</f>
        <v>0</v>
      </c>
      <c r="Q148" s="340">
        <f t="shared" si="87"/>
        <v>0</v>
      </c>
      <c r="R148" s="81"/>
      <c r="S148" s="83">
        <f>IF('4.) Yearly Budget'!$T$18&gt;0,'4.) Yearly Budget'!T148,'4.) Yearly Budget'!S148)</f>
        <v>0</v>
      </c>
      <c r="T148" s="86">
        <f t="shared" si="88"/>
        <v>0</v>
      </c>
      <c r="U148" s="239">
        <f t="shared" si="89"/>
        <v>0</v>
      </c>
      <c r="V148" s="337">
        <f t="shared" si="90"/>
        <v>0</v>
      </c>
      <c r="W148" s="337">
        <f t="shared" si="91"/>
        <v>0</v>
      </c>
      <c r="X148" s="337">
        <f>'4.) Yearly Budget'!W148</f>
        <v>0</v>
      </c>
      <c r="Y148" s="338">
        <f t="shared" si="92"/>
        <v>0</v>
      </c>
      <c r="Z148" s="339">
        <f>SUM(IF(I$18&lt;&gt;0,'4.) Yearly Budget'!J148,0)+IF(L$18&lt;&gt;0,'4.) Yearly Budget'!M148,0)+IF(O$18&lt;&gt;0,'4.) Yearly Budget'!P148,0)+IF(R$18&lt;&gt;0,'4.) Yearly Budget'!S148,0))</f>
        <v>0</v>
      </c>
      <c r="AA148" s="339">
        <f t="shared" si="93"/>
        <v>0</v>
      </c>
      <c r="AB148" s="339">
        <f>'4.) Yearly Budget'!V148</f>
        <v>0</v>
      </c>
      <c r="AC148" s="340">
        <f t="shared" si="94"/>
        <v>0</v>
      </c>
      <c r="AD148" s="339">
        <f>IF(U$6&lt;&gt;0,'4.) Yearly Budget'!I148/$AM$18,0)</f>
        <v>0</v>
      </c>
      <c r="AE148" s="86">
        <f t="shared" si="95"/>
        <v>0</v>
      </c>
      <c r="AF148" s="253"/>
    </row>
    <row r="149" spans="1:32" s="53" customFormat="1">
      <c r="A149" s="221">
        <f t="shared" si="83"/>
        <v>149</v>
      </c>
      <c r="B149" s="77"/>
      <c r="C149" s="41"/>
      <c r="D149" s="45" t="s">
        <v>7</v>
      </c>
      <c r="E149" s="44"/>
      <c r="F149" s="44"/>
      <c r="G149" s="104"/>
      <c r="H149" s="76"/>
      <c r="I149" s="238"/>
      <c r="J149" s="83">
        <f>IF('4.) Yearly Budget'!$K$18&gt;0,'4.) Yearly Budget'!K149,'4.) Yearly Budget'!J149)</f>
        <v>0</v>
      </c>
      <c r="K149" s="340">
        <f t="shared" si="85"/>
        <v>0</v>
      </c>
      <c r="L149" s="81"/>
      <c r="M149" s="83">
        <f>IF('4.) Yearly Budget'!$N$18&gt;0,'4.) Yearly Budget'!N149,'4.) Yearly Budget'!M149)</f>
        <v>0</v>
      </c>
      <c r="N149" s="340">
        <f t="shared" si="86"/>
        <v>0</v>
      </c>
      <c r="O149" s="81"/>
      <c r="P149" s="83">
        <f>IF('4.) Yearly Budget'!$Q$18&gt;0,'4.) Yearly Budget'!Q149,'4.) Yearly Budget'!P149)</f>
        <v>0</v>
      </c>
      <c r="Q149" s="340">
        <f t="shared" si="87"/>
        <v>0</v>
      </c>
      <c r="R149" s="81"/>
      <c r="S149" s="83">
        <f>IF('4.) Yearly Budget'!$T$18&gt;0,'4.) Yearly Budget'!T149,'4.) Yearly Budget'!S149)</f>
        <v>0</v>
      </c>
      <c r="T149" s="86">
        <f t="shared" si="88"/>
        <v>0</v>
      </c>
      <c r="U149" s="239">
        <f t="shared" si="89"/>
        <v>0</v>
      </c>
      <c r="V149" s="337">
        <f t="shared" si="90"/>
        <v>0</v>
      </c>
      <c r="W149" s="337">
        <f t="shared" si="91"/>
        <v>0</v>
      </c>
      <c r="X149" s="337">
        <f>'4.) Yearly Budget'!W149</f>
        <v>0</v>
      </c>
      <c r="Y149" s="338">
        <f t="shared" si="92"/>
        <v>0</v>
      </c>
      <c r="Z149" s="339">
        <f>SUM(IF(I$18&lt;&gt;0,'4.) Yearly Budget'!J149,0)+IF(L$18&lt;&gt;0,'4.) Yearly Budget'!M149,0)+IF(O$18&lt;&gt;0,'4.) Yearly Budget'!P149,0)+IF(R$18&lt;&gt;0,'4.) Yearly Budget'!S149,0))</f>
        <v>0</v>
      </c>
      <c r="AA149" s="339">
        <f t="shared" si="93"/>
        <v>0</v>
      </c>
      <c r="AB149" s="339">
        <f>'4.) Yearly Budget'!V149</f>
        <v>0</v>
      </c>
      <c r="AC149" s="340">
        <f t="shared" si="94"/>
        <v>0</v>
      </c>
      <c r="AD149" s="339">
        <f>IF(U$6&lt;&gt;0,'4.) Yearly Budget'!I149/$AM$18,0)</f>
        <v>0</v>
      </c>
      <c r="AE149" s="86">
        <f t="shared" si="95"/>
        <v>0</v>
      </c>
      <c r="AF149" s="253"/>
    </row>
    <row r="150" spans="1:32" s="53" customFormat="1" ht="17.25">
      <c r="A150" s="221">
        <f t="shared" si="83"/>
        <v>150</v>
      </c>
      <c r="B150" s="77"/>
      <c r="C150" s="41"/>
      <c r="D150" s="41" t="s">
        <v>9</v>
      </c>
      <c r="E150" s="44"/>
      <c r="F150" s="44"/>
      <c r="G150" s="104"/>
      <c r="H150" s="76"/>
      <c r="I150" s="246"/>
      <c r="J150" s="350">
        <f>IF('4.) Yearly Budget'!$K$18&gt;0,'4.) Yearly Budget'!K150,'4.) Yearly Budget'!J150)</f>
        <v>0</v>
      </c>
      <c r="K150" s="350">
        <f t="shared" si="85"/>
        <v>0</v>
      </c>
      <c r="L150" s="87"/>
      <c r="M150" s="499">
        <f>IF('4.) Yearly Budget'!$N$18&gt;0,'4.) Yearly Budget'!N150,'4.) Yearly Budget'!M150)</f>
        <v>0</v>
      </c>
      <c r="N150" s="350">
        <f t="shared" si="86"/>
        <v>0</v>
      </c>
      <c r="O150" s="87"/>
      <c r="P150" s="499">
        <f>IF('4.) Yearly Budget'!$Q$18&gt;0,'4.) Yearly Budget'!Q150,'4.) Yearly Budget'!P150)</f>
        <v>0</v>
      </c>
      <c r="Q150" s="350">
        <f t="shared" si="87"/>
        <v>0</v>
      </c>
      <c r="R150" s="87"/>
      <c r="S150" s="499">
        <f>IF('4.) Yearly Budget'!$T$18&gt;0,'4.) Yearly Budget'!T150,'4.) Yearly Budget'!S150)</f>
        <v>0</v>
      </c>
      <c r="T150" s="346">
        <f t="shared" si="88"/>
        <v>0</v>
      </c>
      <c r="U150" s="247">
        <f t="shared" si="89"/>
        <v>0</v>
      </c>
      <c r="V150" s="347">
        <f t="shared" si="90"/>
        <v>0</v>
      </c>
      <c r="W150" s="347">
        <f t="shared" si="91"/>
        <v>0</v>
      </c>
      <c r="X150" s="347">
        <f>'4.) Yearly Budget'!W150</f>
        <v>0</v>
      </c>
      <c r="Y150" s="348">
        <f t="shared" si="92"/>
        <v>0</v>
      </c>
      <c r="Z150" s="349">
        <f>SUM(IF(I$18&lt;&gt;0,'4.) Yearly Budget'!J150,0)+IF(L$18&lt;&gt;0,'4.) Yearly Budget'!M150,0)+IF(O$18&lt;&gt;0,'4.) Yearly Budget'!P150,0)+IF(R$18&lt;&gt;0,'4.) Yearly Budget'!S150,0))</f>
        <v>0</v>
      </c>
      <c r="AA150" s="349">
        <f t="shared" si="93"/>
        <v>0</v>
      </c>
      <c r="AB150" s="349">
        <f>'4.) Yearly Budget'!V150</f>
        <v>0</v>
      </c>
      <c r="AC150" s="350">
        <f t="shared" si="94"/>
        <v>0</v>
      </c>
      <c r="AD150" s="349">
        <f>IF(U$6&lt;&gt;0,'4.) Yearly Budget'!I150/$AM$18,0)</f>
        <v>0</v>
      </c>
      <c r="AE150" s="346">
        <f t="shared" si="95"/>
        <v>0</v>
      </c>
      <c r="AF150" s="253"/>
    </row>
    <row r="151" spans="1:32" s="53" customFormat="1">
      <c r="A151" s="221">
        <f t="shared" si="83"/>
        <v>151</v>
      </c>
      <c r="B151" s="77"/>
      <c r="C151" s="33" t="s">
        <v>90</v>
      </c>
      <c r="D151" s="41"/>
      <c r="E151" s="103"/>
      <c r="F151" s="103"/>
      <c r="G151" s="104"/>
      <c r="H151" s="76"/>
      <c r="I151" s="243">
        <f t="shared" ref="I151:AE151" si="96">SUM(I144:I150)</f>
        <v>0</v>
      </c>
      <c r="J151" s="133">
        <f t="shared" si="96"/>
        <v>0</v>
      </c>
      <c r="K151" s="351">
        <f t="shared" si="96"/>
        <v>0</v>
      </c>
      <c r="L151" s="83">
        <f t="shared" si="96"/>
        <v>0</v>
      </c>
      <c r="M151" s="133">
        <f t="shared" si="96"/>
        <v>0</v>
      </c>
      <c r="N151" s="351">
        <f t="shared" si="96"/>
        <v>0</v>
      </c>
      <c r="O151" s="83">
        <f t="shared" si="96"/>
        <v>0</v>
      </c>
      <c r="P151" s="133">
        <f t="shared" si="96"/>
        <v>0</v>
      </c>
      <c r="Q151" s="351">
        <f t="shared" si="96"/>
        <v>0</v>
      </c>
      <c r="R151" s="83">
        <f t="shared" si="96"/>
        <v>0</v>
      </c>
      <c r="S151" s="133">
        <f t="shared" si="96"/>
        <v>0</v>
      </c>
      <c r="T151" s="84">
        <f t="shared" si="96"/>
        <v>0</v>
      </c>
      <c r="U151" s="239">
        <f t="shared" si="96"/>
        <v>0</v>
      </c>
      <c r="V151" s="133">
        <f t="shared" si="96"/>
        <v>0</v>
      </c>
      <c r="W151" s="133">
        <f t="shared" si="96"/>
        <v>0</v>
      </c>
      <c r="X151" s="133">
        <f t="shared" si="96"/>
        <v>0</v>
      </c>
      <c r="Y151" s="341">
        <f t="shared" si="96"/>
        <v>0</v>
      </c>
      <c r="Z151" s="83">
        <f t="shared" si="96"/>
        <v>0</v>
      </c>
      <c r="AA151" s="83">
        <f t="shared" si="96"/>
        <v>0</v>
      </c>
      <c r="AB151" s="83">
        <f t="shared" si="96"/>
        <v>0</v>
      </c>
      <c r="AC151" s="351">
        <f t="shared" si="96"/>
        <v>0</v>
      </c>
      <c r="AD151" s="83">
        <f t="shared" si="96"/>
        <v>0</v>
      </c>
      <c r="AE151" s="86">
        <f t="shared" si="96"/>
        <v>0</v>
      </c>
      <c r="AF151" s="253"/>
    </row>
    <row r="152" spans="1:32" s="53" customFormat="1" ht="7.5" customHeight="1">
      <c r="A152" s="221">
        <f t="shared" si="83"/>
        <v>152</v>
      </c>
      <c r="B152" s="77"/>
      <c r="C152" s="100"/>
      <c r="D152" s="41"/>
      <c r="E152" s="103"/>
      <c r="F152" s="103"/>
      <c r="G152" s="104"/>
      <c r="H152" s="76"/>
      <c r="I152" s="85"/>
      <c r="J152" s="85"/>
      <c r="K152" s="85"/>
      <c r="L152" s="85"/>
      <c r="M152" s="85"/>
      <c r="N152" s="85"/>
      <c r="O152" s="85"/>
      <c r="P152" s="85"/>
      <c r="Q152" s="85"/>
      <c r="R152" s="85"/>
      <c r="S152" s="85"/>
      <c r="T152" s="86"/>
      <c r="U152" s="85"/>
      <c r="V152" s="85"/>
      <c r="W152" s="85"/>
      <c r="X152" s="85"/>
      <c r="Y152" s="85"/>
      <c r="Z152" s="85"/>
      <c r="AA152" s="85"/>
      <c r="AB152" s="85"/>
      <c r="AC152" s="85"/>
      <c r="AD152" s="85"/>
      <c r="AE152" s="86"/>
      <c r="AF152" s="253"/>
    </row>
    <row r="153" spans="1:32" s="53" customFormat="1">
      <c r="A153" s="221">
        <f t="shared" si="83"/>
        <v>153</v>
      </c>
      <c r="B153" s="77"/>
      <c r="C153" s="100" t="s">
        <v>91</v>
      </c>
      <c r="D153" s="41"/>
      <c r="E153" s="103"/>
      <c r="F153" s="103"/>
      <c r="G153" s="104"/>
      <c r="H153" s="76"/>
      <c r="I153" s="238"/>
      <c r="J153" s="83">
        <f>IF('4.) Yearly Budget'!$K$18&gt;0,'4.) Yearly Budget'!K153,'4.) Yearly Budget'!J153)</f>
        <v>0</v>
      </c>
      <c r="K153" s="340">
        <f>IF(I$18&lt;&gt;0,J153-I153,0)</f>
        <v>0</v>
      </c>
      <c r="L153" s="81"/>
      <c r="M153" s="83">
        <f>IF('4.) Yearly Budget'!$N$18&gt;0,'4.) Yearly Budget'!N153,'4.) Yearly Budget'!M153)</f>
        <v>0</v>
      </c>
      <c r="N153" s="340">
        <f>IF(L$18&lt;&gt;0,M153-L153,0)</f>
        <v>0</v>
      </c>
      <c r="O153" s="81"/>
      <c r="P153" s="83">
        <f>IF('4.) Yearly Budget'!$Q$18&gt;0,'4.) Yearly Budget'!Q153,'4.) Yearly Budget'!P153)</f>
        <v>0</v>
      </c>
      <c r="Q153" s="340">
        <f>IF(O$18&lt;&gt;0,P153-O153,0)</f>
        <v>0</v>
      </c>
      <c r="R153" s="81"/>
      <c r="S153" s="83">
        <f>IF('4.) Yearly Budget'!$T$18&gt;0,'4.) Yearly Budget'!T153,'4.) Yearly Budget'!S153)</f>
        <v>0</v>
      </c>
      <c r="T153" s="86">
        <f>IF(R$18&lt;&gt;0,S153-R153,0)</f>
        <v>0</v>
      </c>
      <c r="U153" s="239">
        <f>IF(I$6&lt;&gt;0,I153,0)+IF(L$6&lt;&gt;0,L153,0)+IF(O$6&lt;&gt;0,O153,0)+IF(R$6&lt;&gt;0,R153,0)</f>
        <v>0</v>
      </c>
      <c r="V153" s="337">
        <f>SUM(IF(I$6&lt;&gt;0,J153,0)+IF(L$6&lt;&gt;0,M153,0)+IF(O$6&lt;&gt;0,P153,0)+IF(R$6&lt;&gt;0,S153,0))</f>
        <v>0</v>
      </c>
      <c r="W153" s="337">
        <f>V153-U153</f>
        <v>0</v>
      </c>
      <c r="X153" s="337">
        <f>'4.) Yearly Budget'!W153</f>
        <v>0</v>
      </c>
      <c r="Y153" s="338">
        <f>IF(U153&lt;&gt;0,X153-U153,IF(U153=0,X153,0))</f>
        <v>0</v>
      </c>
      <c r="Z153" s="339">
        <f>SUM(IF(I$18&lt;&gt;0,'4.) Yearly Budget'!J153,0)+IF(L$18&lt;&gt;0,'4.) Yearly Budget'!M153,0)+IF(O$18&lt;&gt;0,'4.) Yearly Budget'!P153,0)+IF(R$18&lt;&gt;0,'4.) Yearly Budget'!S153,0))</f>
        <v>0</v>
      </c>
      <c r="AA153" s="339">
        <f>Z153-U153</f>
        <v>0</v>
      </c>
      <c r="AB153" s="339">
        <f>'4.) Yearly Budget'!V153</f>
        <v>0</v>
      </c>
      <c r="AC153" s="340">
        <f>IF(U153&lt;&gt;0,AB153-U153,IF(U153=0,AB153,0))</f>
        <v>0</v>
      </c>
      <c r="AD153" s="339">
        <f>IF(U$6&lt;&gt;0,'4.) Yearly Budget'!I153/$AM$18,0)</f>
        <v>0</v>
      </c>
      <c r="AE153" s="86">
        <f>AD153-U153</f>
        <v>0</v>
      </c>
      <c r="AF153" s="253"/>
    </row>
    <row r="154" spans="1:32" s="53" customFormat="1">
      <c r="A154" s="221">
        <f t="shared" si="83"/>
        <v>154</v>
      </c>
      <c r="B154" s="77"/>
      <c r="C154" s="100" t="s">
        <v>640</v>
      </c>
      <c r="D154" s="41"/>
      <c r="E154" s="103"/>
      <c r="F154" s="103"/>
      <c r="G154" s="104"/>
      <c r="H154" s="76"/>
      <c r="I154" s="238"/>
      <c r="J154" s="83">
        <f>IF('4.) Yearly Budget'!$K$18&gt;0,'4.) Yearly Budget'!K154,'4.) Yearly Budget'!J154)</f>
        <v>0</v>
      </c>
      <c r="K154" s="340">
        <f>IF(I$18&lt;&gt;0,J154-I154,0)</f>
        <v>0</v>
      </c>
      <c r="L154" s="81"/>
      <c r="M154" s="83">
        <f>IF('4.) Yearly Budget'!$N$18&gt;0,'4.) Yearly Budget'!N154,'4.) Yearly Budget'!M154)</f>
        <v>0</v>
      </c>
      <c r="N154" s="340">
        <f>IF(L$18&lt;&gt;0,M154-L154,0)</f>
        <v>0</v>
      </c>
      <c r="O154" s="81"/>
      <c r="P154" s="83">
        <f>IF('4.) Yearly Budget'!$Q$18&gt;0,'4.) Yearly Budget'!Q154,'4.) Yearly Budget'!P154)</f>
        <v>0</v>
      </c>
      <c r="Q154" s="340">
        <f>IF(O$18&lt;&gt;0,P154-O154,0)</f>
        <v>0</v>
      </c>
      <c r="R154" s="81"/>
      <c r="S154" s="83">
        <f>IF('4.) Yearly Budget'!$T$18&gt;0,'4.) Yearly Budget'!T154,'4.) Yearly Budget'!S154)</f>
        <v>0</v>
      </c>
      <c r="T154" s="86">
        <f>IF(R$18&lt;&gt;0,S154-R154,0)</f>
        <v>0</v>
      </c>
      <c r="U154" s="239">
        <f>IF(I$6&lt;&gt;0,I154,0)+IF(L$6&lt;&gt;0,L154,0)+IF(O$6&lt;&gt;0,O154,0)+IF(R$6&lt;&gt;0,R154,0)</f>
        <v>0</v>
      </c>
      <c r="V154" s="337">
        <f>SUM(IF(I$6&lt;&gt;0,J154,0)+IF(L$6&lt;&gt;0,M154,0)+IF(O$6&lt;&gt;0,P154,0)+IF(R$6&lt;&gt;0,S154,0))</f>
        <v>0</v>
      </c>
      <c r="W154" s="337">
        <f>V154-U154</f>
        <v>0</v>
      </c>
      <c r="X154" s="337">
        <f>'4.) Yearly Budget'!W154</f>
        <v>0</v>
      </c>
      <c r="Y154" s="338">
        <f>IF(U154&lt;&gt;0,X154-U154,IF(U154=0,X154,0))</f>
        <v>0</v>
      </c>
      <c r="Z154" s="339">
        <f>SUM(IF(I$18&lt;&gt;0,'4.) Yearly Budget'!J154,0)+IF(L$18&lt;&gt;0,'4.) Yearly Budget'!M154,0)+IF(O$18&lt;&gt;0,'4.) Yearly Budget'!P154,0)+IF(R$18&lt;&gt;0,'4.) Yearly Budget'!S154,0))</f>
        <v>0</v>
      </c>
      <c r="AA154" s="339">
        <f>Z154-U154</f>
        <v>0</v>
      </c>
      <c r="AB154" s="339">
        <f>'4.) Yearly Budget'!V154</f>
        <v>0</v>
      </c>
      <c r="AC154" s="340">
        <f>IF(U154&lt;&gt;0,AB154-U154,IF(U154=0,AB154,0))</f>
        <v>0</v>
      </c>
      <c r="AD154" s="339">
        <f>IF(U$6&lt;&gt;0,'4.) Yearly Budget'!I154/$AM$18,0)</f>
        <v>0</v>
      </c>
      <c r="AE154" s="86">
        <f>AD154-U154</f>
        <v>0</v>
      </c>
      <c r="AF154" s="253"/>
    </row>
    <row r="155" spans="1:32" s="53" customFormat="1">
      <c r="A155" s="221">
        <f t="shared" si="83"/>
        <v>155</v>
      </c>
      <c r="B155" s="77"/>
      <c r="C155" s="100" t="s">
        <v>573</v>
      </c>
      <c r="D155" s="41"/>
      <c r="E155" s="103"/>
      <c r="F155" s="103"/>
      <c r="G155" s="104"/>
      <c r="H155" s="76"/>
      <c r="I155" s="238"/>
      <c r="J155" s="83">
        <f>IF('4.) Yearly Budget'!$K$18&gt;0,'4.) Yearly Budget'!K155,'4.) Yearly Budget'!J155)</f>
        <v>0</v>
      </c>
      <c r="K155" s="340">
        <f>IF(I$18&lt;&gt;0,J155-I155,0)</f>
        <v>0</v>
      </c>
      <c r="L155" s="81"/>
      <c r="M155" s="83">
        <f>IF('4.) Yearly Budget'!$N$18&gt;0,'4.) Yearly Budget'!N155,'4.) Yearly Budget'!M155)</f>
        <v>0</v>
      </c>
      <c r="N155" s="340">
        <f>IF(L$18&lt;&gt;0,M155-L155,0)</f>
        <v>0</v>
      </c>
      <c r="O155" s="81"/>
      <c r="P155" s="83">
        <f>IF('4.) Yearly Budget'!$Q$18&gt;0,'4.) Yearly Budget'!Q155,'4.) Yearly Budget'!P155)</f>
        <v>0</v>
      </c>
      <c r="Q155" s="340">
        <f>IF(O$18&lt;&gt;0,P155-O155,0)</f>
        <v>0</v>
      </c>
      <c r="R155" s="81"/>
      <c r="S155" s="83">
        <f>IF('4.) Yearly Budget'!$T$18&gt;0,'4.) Yearly Budget'!T155,'4.) Yearly Budget'!S155)</f>
        <v>0</v>
      </c>
      <c r="T155" s="86">
        <f>IF(R$18&lt;&gt;0,S155-R155,0)</f>
        <v>0</v>
      </c>
      <c r="U155" s="239">
        <f>IF(I$6&lt;&gt;0,I155,0)+IF(L$6&lt;&gt;0,L155,0)+IF(O$6&lt;&gt;0,O155,0)+IF(R$6&lt;&gt;0,R155,0)</f>
        <v>0</v>
      </c>
      <c r="V155" s="337">
        <f>SUM(IF(I$6&lt;&gt;0,J155,0)+IF(L$6&lt;&gt;0,M155,0)+IF(O$6&lt;&gt;0,P155,0)+IF(R$6&lt;&gt;0,S155,0))</f>
        <v>0</v>
      </c>
      <c r="W155" s="337">
        <f>V155-U155</f>
        <v>0</v>
      </c>
      <c r="X155" s="337">
        <f>'4.) Yearly Budget'!W155</f>
        <v>0</v>
      </c>
      <c r="Y155" s="338">
        <f>IF(U155&lt;&gt;0,X155-U155,IF(U155=0,X155,0))</f>
        <v>0</v>
      </c>
      <c r="Z155" s="339">
        <f>SUM(IF(I$18&lt;&gt;0,'4.) Yearly Budget'!J155,0)+IF(L$18&lt;&gt;0,'4.) Yearly Budget'!M155,0)+IF(O$18&lt;&gt;0,'4.) Yearly Budget'!P155,0)+IF(R$18&lt;&gt;0,'4.) Yearly Budget'!S155,0))</f>
        <v>0</v>
      </c>
      <c r="AA155" s="339">
        <f>Z155-U155</f>
        <v>0</v>
      </c>
      <c r="AB155" s="339">
        <f>'4.) Yearly Budget'!V155</f>
        <v>0</v>
      </c>
      <c r="AC155" s="340">
        <f>IF(U155&lt;&gt;0,AB155-U155,IF(U155=0,AB155,0))</f>
        <v>0</v>
      </c>
      <c r="AD155" s="339">
        <f>IF(U$6&lt;&gt;0,'4.) Yearly Budget'!I155/$AM$18,0)</f>
        <v>0</v>
      </c>
      <c r="AE155" s="86">
        <f>AD155-U155</f>
        <v>0</v>
      </c>
      <c r="AF155" s="253"/>
    </row>
    <row r="156" spans="1:32" s="53" customFormat="1">
      <c r="A156" s="221">
        <f t="shared" si="83"/>
        <v>156</v>
      </c>
      <c r="B156" s="77"/>
      <c r="C156" s="100"/>
      <c r="D156" s="41"/>
      <c r="E156" s="103"/>
      <c r="F156" s="103"/>
      <c r="G156" s="104"/>
      <c r="H156" s="76"/>
      <c r="I156" s="85"/>
      <c r="J156" s="85"/>
      <c r="K156" s="85"/>
      <c r="L156" s="85"/>
      <c r="M156" s="85"/>
      <c r="N156" s="85"/>
      <c r="O156" s="85"/>
      <c r="P156" s="85"/>
      <c r="Q156" s="85"/>
      <c r="R156" s="85"/>
      <c r="S156" s="85"/>
      <c r="T156" s="86"/>
      <c r="U156" s="85"/>
      <c r="V156" s="85"/>
      <c r="W156" s="85"/>
      <c r="X156" s="85"/>
      <c r="Y156" s="85"/>
      <c r="Z156" s="85"/>
      <c r="AA156" s="85"/>
      <c r="AB156" s="85"/>
      <c r="AC156" s="85"/>
      <c r="AD156" s="85"/>
      <c r="AE156" s="86"/>
      <c r="AF156" s="253"/>
    </row>
    <row r="157" spans="1:32" s="53" customFormat="1" ht="17.25">
      <c r="A157" s="221">
        <f t="shared" si="83"/>
        <v>157</v>
      </c>
      <c r="B157" s="74" t="s">
        <v>55</v>
      </c>
      <c r="C157" s="75"/>
      <c r="D157" s="75"/>
      <c r="G157" s="48"/>
      <c r="H157" s="115"/>
      <c r="I157" s="261">
        <f>I106+I118+I141+I151+I153+I154+I155</f>
        <v>0</v>
      </c>
      <c r="J157" s="368">
        <f t="shared" ref="J157:AE157" si="97">J106+J118+J141+J151+J153+J154+J155</f>
        <v>0</v>
      </c>
      <c r="K157" s="132">
        <f t="shared" si="97"/>
        <v>0</v>
      </c>
      <c r="L157" s="261">
        <f t="shared" si="97"/>
        <v>0</v>
      </c>
      <c r="M157" s="368">
        <f t="shared" si="97"/>
        <v>0</v>
      </c>
      <c r="N157" s="132">
        <f t="shared" si="97"/>
        <v>0</v>
      </c>
      <c r="O157" s="261">
        <f t="shared" si="97"/>
        <v>0</v>
      </c>
      <c r="P157" s="368">
        <f t="shared" si="97"/>
        <v>0</v>
      </c>
      <c r="Q157" s="132">
        <f t="shared" si="97"/>
        <v>0</v>
      </c>
      <c r="R157" s="261">
        <f t="shared" si="97"/>
        <v>0</v>
      </c>
      <c r="S157" s="368">
        <f t="shared" si="97"/>
        <v>0</v>
      </c>
      <c r="T157" s="369">
        <f t="shared" si="97"/>
        <v>0</v>
      </c>
      <c r="U157" s="370">
        <f t="shared" si="97"/>
        <v>0</v>
      </c>
      <c r="V157" s="368">
        <f t="shared" si="97"/>
        <v>0</v>
      </c>
      <c r="W157" s="368">
        <f t="shared" si="97"/>
        <v>0</v>
      </c>
      <c r="X157" s="368">
        <f t="shared" si="97"/>
        <v>0</v>
      </c>
      <c r="Y157" s="132">
        <f t="shared" si="97"/>
        <v>0</v>
      </c>
      <c r="Z157" s="261">
        <f t="shared" si="97"/>
        <v>0</v>
      </c>
      <c r="AA157" s="368">
        <f t="shared" si="97"/>
        <v>0</v>
      </c>
      <c r="AB157" s="368">
        <f t="shared" si="97"/>
        <v>0</v>
      </c>
      <c r="AC157" s="371">
        <f t="shared" si="97"/>
        <v>0</v>
      </c>
      <c r="AD157" s="261">
        <f t="shared" si="97"/>
        <v>0</v>
      </c>
      <c r="AE157" s="369">
        <f t="shared" si="97"/>
        <v>0</v>
      </c>
      <c r="AF157" s="253"/>
    </row>
    <row r="158" spans="1:32" s="53" customFormat="1" ht="7.5" customHeight="1">
      <c r="A158" s="221">
        <f t="shared" si="83"/>
        <v>158</v>
      </c>
      <c r="B158" s="74"/>
      <c r="C158" s="75"/>
      <c r="D158" s="75"/>
      <c r="G158" s="48"/>
      <c r="H158" s="115"/>
      <c r="I158" s="116"/>
      <c r="J158" s="116"/>
      <c r="K158" s="116"/>
      <c r="L158" s="116"/>
      <c r="M158" s="116"/>
      <c r="N158" s="116"/>
      <c r="O158" s="116"/>
      <c r="P158" s="116"/>
      <c r="Q158" s="116"/>
      <c r="R158" s="116"/>
      <c r="S158" s="116"/>
      <c r="T158" s="369"/>
      <c r="U158" s="116"/>
      <c r="V158" s="116"/>
      <c r="W158" s="116"/>
      <c r="X158" s="116"/>
      <c r="Y158" s="116"/>
      <c r="Z158" s="116"/>
      <c r="AA158" s="116"/>
      <c r="AB158" s="116"/>
      <c r="AC158" s="116"/>
      <c r="AD158" s="116"/>
      <c r="AE158" s="369"/>
      <c r="AF158" s="253"/>
    </row>
    <row r="159" spans="1:32" s="53" customFormat="1" ht="18" thickBot="1">
      <c r="A159" s="221">
        <f t="shared" si="83"/>
        <v>159</v>
      </c>
      <c r="B159" s="105" t="s">
        <v>96</v>
      </c>
      <c r="C159" s="106"/>
      <c r="D159" s="106"/>
      <c r="E159" s="107"/>
      <c r="F159" s="107"/>
      <c r="G159" s="93"/>
      <c r="H159" s="117"/>
      <c r="I159" s="248">
        <f>I66-I157</f>
        <v>0</v>
      </c>
      <c r="J159" s="95">
        <f>J66-J157</f>
        <v>0</v>
      </c>
      <c r="K159" s="356">
        <f>K66+K157</f>
        <v>0</v>
      </c>
      <c r="L159" s="248">
        <f>L66-L157</f>
        <v>0</v>
      </c>
      <c r="M159" s="95">
        <f>M66-M157</f>
        <v>0</v>
      </c>
      <c r="N159" s="356">
        <f>N66+N157</f>
        <v>0</v>
      </c>
      <c r="O159" s="248">
        <f>O66-O157</f>
        <v>0</v>
      </c>
      <c r="P159" s="95">
        <f>P66-P157</f>
        <v>0</v>
      </c>
      <c r="Q159" s="356">
        <f>Q66+Q157</f>
        <v>0</v>
      </c>
      <c r="R159" s="248">
        <f>R66-R157</f>
        <v>0</v>
      </c>
      <c r="S159" s="127">
        <f>S66-S157</f>
        <v>0</v>
      </c>
      <c r="T159" s="96">
        <f>T66+T157</f>
        <v>0</v>
      </c>
      <c r="U159" s="262">
        <f>U66-U157</f>
        <v>0</v>
      </c>
      <c r="V159" s="95">
        <f>V66-V157</f>
        <v>0</v>
      </c>
      <c r="W159" s="95">
        <f>W66+W157</f>
        <v>0</v>
      </c>
      <c r="X159" s="95">
        <f>X66-X157</f>
        <v>0</v>
      </c>
      <c r="Y159" s="95">
        <f>Y66+Y157</f>
        <v>0</v>
      </c>
      <c r="Z159" s="94">
        <f>Z66-Z157</f>
        <v>0</v>
      </c>
      <c r="AA159" s="94">
        <f>AA66+AA157</f>
        <v>0</v>
      </c>
      <c r="AB159" s="94">
        <f>AB66-AB157</f>
        <v>0</v>
      </c>
      <c r="AC159" s="356">
        <f>AC66+AC157</f>
        <v>0</v>
      </c>
      <c r="AD159" s="94">
        <f>AD66-AD157</f>
        <v>0</v>
      </c>
      <c r="AE159" s="249">
        <f>AE66+AE157</f>
        <v>0</v>
      </c>
      <c r="AF159" s="372"/>
    </row>
    <row r="160" spans="1:32" s="53" customFormat="1" ht="7.5" customHeight="1" thickTop="1">
      <c r="A160" s="221">
        <f t="shared" si="83"/>
        <v>160</v>
      </c>
      <c r="B160" s="263"/>
      <c r="C160" s="263"/>
      <c r="D160" s="263"/>
      <c r="E160" s="97"/>
      <c r="F160" s="97"/>
      <c r="G160" s="98"/>
      <c r="H160" s="264"/>
      <c r="I160" s="264"/>
      <c r="J160" s="264"/>
      <c r="K160" s="264"/>
      <c r="L160" s="264"/>
      <c r="M160" s="264"/>
      <c r="N160" s="264"/>
      <c r="O160" s="264"/>
      <c r="P160" s="264"/>
      <c r="Q160" s="264"/>
      <c r="R160" s="264"/>
      <c r="S160" s="264"/>
      <c r="T160" s="264"/>
      <c r="U160" s="697"/>
      <c r="V160" s="264"/>
      <c r="W160" s="264"/>
      <c r="X160" s="264"/>
      <c r="Y160" s="264"/>
      <c r="Z160" s="264"/>
      <c r="AA160" s="264"/>
      <c r="AB160" s="264"/>
      <c r="AC160" s="264"/>
      <c r="AD160" s="264"/>
      <c r="AE160" s="264"/>
      <c r="AF160" s="373"/>
    </row>
    <row r="161" spans="1:32" s="53" customFormat="1" ht="7.5" hidden="1" customHeight="1">
      <c r="A161" s="221">
        <f t="shared" si="83"/>
        <v>161</v>
      </c>
      <c r="B161" s="65"/>
      <c r="C161" s="1"/>
      <c r="D161" s="1"/>
      <c r="G161" s="48"/>
      <c r="H161" s="108"/>
      <c r="I161" s="108"/>
      <c r="J161" s="108"/>
      <c r="K161" s="108"/>
      <c r="L161" s="108"/>
      <c r="M161" s="108"/>
      <c r="N161" s="108"/>
      <c r="O161" s="108"/>
      <c r="P161" s="108"/>
      <c r="Q161" s="108"/>
      <c r="R161" s="108"/>
      <c r="S161" s="108"/>
      <c r="T161" s="108"/>
      <c r="U161" s="374"/>
      <c r="V161" s="108"/>
      <c r="W161" s="108"/>
      <c r="X161" s="108"/>
      <c r="Y161" s="108"/>
      <c r="Z161" s="108"/>
      <c r="AA161" s="108"/>
      <c r="AB161" s="108"/>
      <c r="AC161" s="108"/>
      <c r="AD161" s="108"/>
      <c r="AE161" s="109"/>
      <c r="AF161" s="240"/>
    </row>
    <row r="162" spans="1:32">
      <c r="A162" s="221">
        <f t="shared" si="83"/>
        <v>162</v>
      </c>
      <c r="B162" s="74" t="s">
        <v>92</v>
      </c>
      <c r="C162" s="75"/>
      <c r="D162" s="75"/>
      <c r="I162" s="110"/>
      <c r="J162" s="110"/>
      <c r="K162" s="110"/>
      <c r="L162" s="110"/>
      <c r="M162" s="110"/>
      <c r="N162" s="110"/>
      <c r="O162" s="110"/>
      <c r="P162" s="110"/>
      <c r="Q162" s="110"/>
      <c r="R162" s="110"/>
      <c r="S162" s="110"/>
      <c r="T162" s="110"/>
      <c r="U162" s="375" t="s">
        <v>318</v>
      </c>
      <c r="V162" s="110"/>
      <c r="W162" s="110"/>
      <c r="X162" s="110"/>
      <c r="Y162" s="110"/>
      <c r="Z162" s="110"/>
      <c r="AA162" s="110"/>
      <c r="AB162" s="110"/>
      <c r="AC162" s="110"/>
      <c r="AD162" s="110"/>
      <c r="AE162" s="111"/>
      <c r="AF162" s="240"/>
    </row>
    <row r="163" spans="1:32">
      <c r="A163" s="221">
        <f t="shared" si="83"/>
        <v>163</v>
      </c>
      <c r="B163" s="77"/>
      <c r="E163" s="1" t="str">
        <f t="shared" ref="E163:E178" si="98">E18</f>
        <v>-</v>
      </c>
      <c r="I163" s="440">
        <f>'2.) Enrollment'!P22</f>
        <v>0</v>
      </c>
      <c r="J163" s="83">
        <f>IF('4.) Yearly Budget'!$K$18&gt;0,'4.) Yearly Budget'!K163,'4.) Yearly Budget'!J163)</f>
        <v>0</v>
      </c>
      <c r="K163" s="340">
        <f t="shared" ref="K163:K178" si="99">IF(I$163&gt;0,I163-J163,0)</f>
        <v>0</v>
      </c>
      <c r="L163" s="501">
        <f>'2.) Enrollment'!Q22</f>
        <v>0</v>
      </c>
      <c r="M163" s="83">
        <f>IF('4.) Yearly Budget'!$N$18&gt;0,'4.) Yearly Budget'!N163,'4.) Yearly Budget'!M163)</f>
        <v>0</v>
      </c>
      <c r="N163" s="340">
        <f t="shared" ref="N163:N178" si="100">IF(L$163&gt;0,L163-M163,0)</f>
        <v>0</v>
      </c>
      <c r="O163" s="501">
        <f>'2.) Enrollment'!R22</f>
        <v>0</v>
      </c>
      <c r="P163" s="83">
        <f>IF('4.) Yearly Budget'!$Q$18&gt;0,'4.) Yearly Budget'!Q163,'4.) Yearly Budget'!P163)</f>
        <v>0</v>
      </c>
      <c r="Q163" s="340">
        <f t="shared" ref="Q163:Q178" si="101">IF(O$163&gt;0,O163-P163,0)</f>
        <v>0</v>
      </c>
      <c r="R163" s="501">
        <f>'2.) Enrollment'!S22</f>
        <v>0</v>
      </c>
      <c r="S163" s="83">
        <f>IF('4.) Yearly Budget'!$T$18&gt;0,'4.) Yearly Budget'!T163,'4.) Yearly Budget'!S163)</f>
        <v>0</v>
      </c>
      <c r="T163" s="86">
        <f t="shared" ref="T163:T178" si="102">IF(R$163&gt;0,R163-S163,0)</f>
        <v>0</v>
      </c>
      <c r="U163" s="245">
        <f t="shared" ref="U163:U178" si="103">IF(R$163&gt;0,R163,IF(O$163&gt;0,O163,IF(L$163&gt;0,L163,IF(I$163&gt;0,I163,0))))</f>
        <v>0</v>
      </c>
      <c r="V163" s="376">
        <f t="shared" ref="V163:V178" si="104">IF(R$163&gt;0,S163,IF(O$163&gt;0,P163,IF(L$163&gt;0,M163,IF(I$163&gt;0,J163,0))))</f>
        <v>0</v>
      </c>
      <c r="W163" s="337">
        <f t="shared" ref="W163:W178" si="105">U163-V163</f>
        <v>0</v>
      </c>
      <c r="X163" s="377"/>
      <c r="Y163" s="378"/>
      <c r="Z163" s="379">
        <f>IF(R$163&gt;0,'4.) Yearly Budget'!S163,IF(O$163&gt;0,'4.) Yearly Budget'!P163,IF(L$163&gt;0,'4.) Yearly Budget'!M163,IF(I$163&gt;0,'4.) Yearly Budget'!J163,0))))</f>
        <v>0</v>
      </c>
      <c r="AA163" s="339">
        <f t="shared" ref="AA163:AA178" si="106">U163-Z163</f>
        <v>0</v>
      </c>
      <c r="AB163" s="378"/>
      <c r="AC163" s="88"/>
      <c r="AD163" s="379">
        <f>IF(U$163&gt;0,'4.) Yearly Budget'!I163,0)</f>
        <v>0</v>
      </c>
      <c r="AE163" s="82">
        <f t="shared" ref="AE163:AE178" si="107">U163-AD163</f>
        <v>0</v>
      </c>
      <c r="AF163" s="240"/>
    </row>
    <row r="164" spans="1:32">
      <c r="A164" s="221">
        <f t="shared" si="83"/>
        <v>164</v>
      </c>
      <c r="B164" s="77"/>
      <c r="E164" s="1" t="str">
        <f t="shared" si="98"/>
        <v>-</v>
      </c>
      <c r="I164" s="440">
        <f>'2.) Enrollment'!P23</f>
        <v>0</v>
      </c>
      <c r="J164" s="83">
        <f>IF('4.) Yearly Budget'!$K$18&gt;0,'4.) Yearly Budget'!K164,'4.) Yearly Budget'!J164)</f>
        <v>0</v>
      </c>
      <c r="K164" s="340">
        <f t="shared" si="99"/>
        <v>0</v>
      </c>
      <c r="L164" s="501">
        <f>'2.) Enrollment'!Q23</f>
        <v>0</v>
      </c>
      <c r="M164" s="83">
        <f>IF('4.) Yearly Budget'!$N$18&gt;0,'4.) Yearly Budget'!N164,'4.) Yearly Budget'!M164)</f>
        <v>0</v>
      </c>
      <c r="N164" s="340">
        <f t="shared" si="100"/>
        <v>0</v>
      </c>
      <c r="O164" s="501">
        <f>'2.) Enrollment'!R23</f>
        <v>0</v>
      </c>
      <c r="P164" s="83">
        <f>IF('4.) Yearly Budget'!$Q$18&gt;0,'4.) Yearly Budget'!Q164,'4.) Yearly Budget'!P164)</f>
        <v>0</v>
      </c>
      <c r="Q164" s="340">
        <f t="shared" si="101"/>
        <v>0</v>
      </c>
      <c r="R164" s="501">
        <f>'2.) Enrollment'!S23</f>
        <v>0</v>
      </c>
      <c r="S164" s="83">
        <f>IF('4.) Yearly Budget'!$T$18&gt;0,'4.) Yearly Budget'!T164,'4.) Yearly Budget'!S164)</f>
        <v>0</v>
      </c>
      <c r="T164" s="86">
        <f t="shared" si="102"/>
        <v>0</v>
      </c>
      <c r="U164" s="245">
        <f t="shared" si="103"/>
        <v>0</v>
      </c>
      <c r="V164" s="376">
        <f t="shared" si="104"/>
        <v>0</v>
      </c>
      <c r="W164" s="337">
        <f t="shared" si="105"/>
        <v>0</v>
      </c>
      <c r="X164" s="380"/>
      <c r="Y164" s="76"/>
      <c r="Z164" s="379">
        <f>IF(R$163&gt;0,'4.) Yearly Budget'!S164,IF(O$163&gt;0,'4.) Yearly Budget'!P164,IF(L$163&gt;0,'4.) Yearly Budget'!M164,IF(I$163&gt;0,'4.) Yearly Budget'!J164,0))))</f>
        <v>0</v>
      </c>
      <c r="AA164" s="339">
        <f t="shared" si="106"/>
        <v>0</v>
      </c>
      <c r="AB164" s="76"/>
      <c r="AC164" s="76"/>
      <c r="AD164" s="379">
        <f>IF(U$163&gt;0,'4.) Yearly Budget'!I164,0)</f>
        <v>0</v>
      </c>
      <c r="AE164" s="82">
        <f t="shared" si="107"/>
        <v>0</v>
      </c>
      <c r="AF164" s="240"/>
    </row>
    <row r="165" spans="1:32">
      <c r="A165" s="221">
        <f t="shared" si="83"/>
        <v>165</v>
      </c>
      <c r="B165" s="77"/>
      <c r="E165" s="1" t="str">
        <f t="shared" si="98"/>
        <v>-</v>
      </c>
      <c r="I165" s="440">
        <f>'2.) Enrollment'!P24</f>
        <v>0</v>
      </c>
      <c r="J165" s="83">
        <f>IF('4.) Yearly Budget'!$K$18&gt;0,'4.) Yearly Budget'!K165,'4.) Yearly Budget'!J165)</f>
        <v>0</v>
      </c>
      <c r="K165" s="340">
        <f t="shared" si="99"/>
        <v>0</v>
      </c>
      <c r="L165" s="501">
        <f>'2.) Enrollment'!Q24</f>
        <v>0</v>
      </c>
      <c r="M165" s="83">
        <f>IF('4.) Yearly Budget'!$N$18&gt;0,'4.) Yearly Budget'!N165,'4.) Yearly Budget'!M165)</f>
        <v>0</v>
      </c>
      <c r="N165" s="340">
        <f t="shared" si="100"/>
        <v>0</v>
      </c>
      <c r="O165" s="501">
        <f>'2.) Enrollment'!R24</f>
        <v>0</v>
      </c>
      <c r="P165" s="83">
        <f>IF('4.) Yearly Budget'!$Q$18&gt;0,'4.) Yearly Budget'!Q165,'4.) Yearly Budget'!P165)</f>
        <v>0</v>
      </c>
      <c r="Q165" s="340">
        <f t="shared" si="101"/>
        <v>0</v>
      </c>
      <c r="R165" s="501">
        <f>'2.) Enrollment'!S24</f>
        <v>0</v>
      </c>
      <c r="S165" s="83">
        <f>IF('4.) Yearly Budget'!$T$18&gt;0,'4.) Yearly Budget'!T165,'4.) Yearly Budget'!S165)</f>
        <v>0</v>
      </c>
      <c r="T165" s="86">
        <f t="shared" si="102"/>
        <v>0</v>
      </c>
      <c r="U165" s="245">
        <f t="shared" si="103"/>
        <v>0</v>
      </c>
      <c r="V165" s="376">
        <f t="shared" si="104"/>
        <v>0</v>
      </c>
      <c r="W165" s="337">
        <f t="shared" si="105"/>
        <v>0</v>
      </c>
      <c r="X165" s="380"/>
      <c r="Y165" s="76"/>
      <c r="Z165" s="379">
        <f>IF(R$163&gt;0,'4.) Yearly Budget'!S165,IF(O$163&gt;0,'4.) Yearly Budget'!P165,IF(L$163&gt;0,'4.) Yearly Budget'!M165,IF(I$163&gt;0,'4.) Yearly Budget'!J165,0))))</f>
        <v>0</v>
      </c>
      <c r="AA165" s="339">
        <f t="shared" si="106"/>
        <v>0</v>
      </c>
      <c r="AB165" s="76"/>
      <c r="AC165" s="76"/>
      <c r="AD165" s="379">
        <f>IF(U$163&gt;0,'4.) Yearly Budget'!I165,0)</f>
        <v>0</v>
      </c>
      <c r="AE165" s="82">
        <f t="shared" si="107"/>
        <v>0</v>
      </c>
      <c r="AF165" s="240"/>
    </row>
    <row r="166" spans="1:32">
      <c r="A166" s="221">
        <f t="shared" si="83"/>
        <v>166</v>
      </c>
      <c r="B166" s="77"/>
      <c r="E166" s="1" t="str">
        <f t="shared" si="98"/>
        <v>-</v>
      </c>
      <c r="I166" s="440">
        <f>'2.) Enrollment'!P25</f>
        <v>0</v>
      </c>
      <c r="J166" s="83">
        <f>IF('4.) Yearly Budget'!$K$18&gt;0,'4.) Yearly Budget'!K166,'4.) Yearly Budget'!J166)</f>
        <v>0</v>
      </c>
      <c r="K166" s="340">
        <f t="shared" si="99"/>
        <v>0</v>
      </c>
      <c r="L166" s="501">
        <f>'2.) Enrollment'!Q25</f>
        <v>0</v>
      </c>
      <c r="M166" s="83">
        <f>IF('4.) Yearly Budget'!$N$18&gt;0,'4.) Yearly Budget'!N166,'4.) Yearly Budget'!M166)</f>
        <v>0</v>
      </c>
      <c r="N166" s="340">
        <f t="shared" si="100"/>
        <v>0</v>
      </c>
      <c r="O166" s="501">
        <f>'2.) Enrollment'!R25</f>
        <v>0</v>
      </c>
      <c r="P166" s="83">
        <f>IF('4.) Yearly Budget'!$Q$18&gt;0,'4.) Yearly Budget'!Q166,'4.) Yearly Budget'!P166)</f>
        <v>0</v>
      </c>
      <c r="Q166" s="340">
        <f t="shared" si="101"/>
        <v>0</v>
      </c>
      <c r="R166" s="501">
        <f>'2.) Enrollment'!S25</f>
        <v>0</v>
      </c>
      <c r="S166" s="83">
        <f>IF('4.) Yearly Budget'!$T$18&gt;0,'4.) Yearly Budget'!T166,'4.) Yearly Budget'!S166)</f>
        <v>0</v>
      </c>
      <c r="T166" s="86">
        <f t="shared" si="102"/>
        <v>0</v>
      </c>
      <c r="U166" s="245">
        <f t="shared" si="103"/>
        <v>0</v>
      </c>
      <c r="V166" s="376">
        <f t="shared" si="104"/>
        <v>0</v>
      </c>
      <c r="W166" s="337">
        <f t="shared" si="105"/>
        <v>0</v>
      </c>
      <c r="X166" s="380"/>
      <c r="Y166" s="76"/>
      <c r="Z166" s="379">
        <f>IF(R$163&gt;0,'4.) Yearly Budget'!S166,IF(O$163&gt;0,'4.) Yearly Budget'!P166,IF(L$163&gt;0,'4.) Yearly Budget'!M166,IF(I$163&gt;0,'4.) Yearly Budget'!J166,0))))</f>
        <v>0</v>
      </c>
      <c r="AA166" s="339">
        <f t="shared" si="106"/>
        <v>0</v>
      </c>
      <c r="AB166" s="76"/>
      <c r="AC166" s="76"/>
      <c r="AD166" s="379">
        <f>IF(U$163&gt;0,'4.) Yearly Budget'!I166,0)</f>
        <v>0</v>
      </c>
      <c r="AE166" s="82">
        <f t="shared" si="107"/>
        <v>0</v>
      </c>
      <c r="AF166" s="240"/>
    </row>
    <row r="167" spans="1:32">
      <c r="A167" s="221">
        <f t="shared" si="83"/>
        <v>167</v>
      </c>
      <c r="B167" s="77"/>
      <c r="E167" s="1" t="str">
        <f t="shared" si="98"/>
        <v>-</v>
      </c>
      <c r="I167" s="440">
        <f>'2.) Enrollment'!P26</f>
        <v>0</v>
      </c>
      <c r="J167" s="83">
        <f>IF('4.) Yearly Budget'!$K$18&gt;0,'4.) Yearly Budget'!K167,'4.) Yearly Budget'!J167)</f>
        <v>0</v>
      </c>
      <c r="K167" s="340">
        <f t="shared" si="99"/>
        <v>0</v>
      </c>
      <c r="L167" s="501">
        <f>'2.) Enrollment'!Q26</f>
        <v>0</v>
      </c>
      <c r="M167" s="83">
        <f>IF('4.) Yearly Budget'!$N$18&gt;0,'4.) Yearly Budget'!N167,'4.) Yearly Budget'!M167)</f>
        <v>0</v>
      </c>
      <c r="N167" s="340">
        <f t="shared" si="100"/>
        <v>0</v>
      </c>
      <c r="O167" s="501">
        <f>'2.) Enrollment'!R26</f>
        <v>0</v>
      </c>
      <c r="P167" s="83">
        <f>IF('4.) Yearly Budget'!$Q$18&gt;0,'4.) Yearly Budget'!Q167,'4.) Yearly Budget'!P167)</f>
        <v>0</v>
      </c>
      <c r="Q167" s="340">
        <f t="shared" si="101"/>
        <v>0</v>
      </c>
      <c r="R167" s="501">
        <f>'2.) Enrollment'!S26</f>
        <v>0</v>
      </c>
      <c r="S167" s="83">
        <f>IF('4.) Yearly Budget'!$T$18&gt;0,'4.) Yearly Budget'!T167,'4.) Yearly Budget'!S167)</f>
        <v>0</v>
      </c>
      <c r="T167" s="86">
        <f t="shared" si="102"/>
        <v>0</v>
      </c>
      <c r="U167" s="245">
        <f t="shared" si="103"/>
        <v>0</v>
      </c>
      <c r="V167" s="376">
        <f t="shared" si="104"/>
        <v>0</v>
      </c>
      <c r="W167" s="337">
        <f t="shared" si="105"/>
        <v>0</v>
      </c>
      <c r="X167" s="380"/>
      <c r="Y167" s="76"/>
      <c r="Z167" s="379">
        <f>IF(R$163&gt;0,'4.) Yearly Budget'!S167,IF(O$163&gt;0,'4.) Yearly Budget'!P167,IF(L$163&gt;0,'4.) Yearly Budget'!M167,IF(I$163&gt;0,'4.) Yearly Budget'!J167,0))))</f>
        <v>0</v>
      </c>
      <c r="AA167" s="339">
        <f t="shared" si="106"/>
        <v>0</v>
      </c>
      <c r="AB167" s="76"/>
      <c r="AC167" s="76"/>
      <c r="AD167" s="379">
        <f>IF(U$163&gt;0,'4.) Yearly Budget'!I167,0)</f>
        <v>0</v>
      </c>
      <c r="AE167" s="82">
        <f t="shared" si="107"/>
        <v>0</v>
      </c>
      <c r="AF167" s="240"/>
    </row>
    <row r="168" spans="1:32">
      <c r="A168" s="221">
        <f t="shared" si="83"/>
        <v>168</v>
      </c>
      <c r="B168" s="77"/>
      <c r="E168" s="1" t="str">
        <f t="shared" si="98"/>
        <v>-</v>
      </c>
      <c r="I168" s="440">
        <f>'2.) Enrollment'!P27</f>
        <v>0</v>
      </c>
      <c r="J168" s="83">
        <f>IF('4.) Yearly Budget'!$K$18&gt;0,'4.) Yearly Budget'!K168,'4.) Yearly Budget'!J168)</f>
        <v>0</v>
      </c>
      <c r="K168" s="340">
        <f t="shared" si="99"/>
        <v>0</v>
      </c>
      <c r="L168" s="501">
        <f>'2.) Enrollment'!Q27</f>
        <v>0</v>
      </c>
      <c r="M168" s="83">
        <f>IF('4.) Yearly Budget'!$N$18&gt;0,'4.) Yearly Budget'!N168,'4.) Yearly Budget'!M168)</f>
        <v>0</v>
      </c>
      <c r="N168" s="340">
        <f t="shared" si="100"/>
        <v>0</v>
      </c>
      <c r="O168" s="501">
        <f>'2.) Enrollment'!R27</f>
        <v>0</v>
      </c>
      <c r="P168" s="83">
        <f>IF('4.) Yearly Budget'!$Q$18&gt;0,'4.) Yearly Budget'!Q168,'4.) Yearly Budget'!P168)</f>
        <v>0</v>
      </c>
      <c r="Q168" s="340">
        <f t="shared" si="101"/>
        <v>0</v>
      </c>
      <c r="R168" s="501">
        <f>'2.) Enrollment'!S27</f>
        <v>0</v>
      </c>
      <c r="S168" s="83">
        <f>IF('4.) Yearly Budget'!$T$18&gt;0,'4.) Yearly Budget'!T168,'4.) Yearly Budget'!S168)</f>
        <v>0</v>
      </c>
      <c r="T168" s="86">
        <f t="shared" si="102"/>
        <v>0</v>
      </c>
      <c r="U168" s="245">
        <f t="shared" si="103"/>
        <v>0</v>
      </c>
      <c r="V168" s="376">
        <f t="shared" si="104"/>
        <v>0</v>
      </c>
      <c r="W168" s="337">
        <f t="shared" si="105"/>
        <v>0</v>
      </c>
      <c r="X168" s="380"/>
      <c r="Y168" s="76"/>
      <c r="Z168" s="379">
        <f>IF(R$163&gt;0,'4.) Yearly Budget'!S168,IF(O$163&gt;0,'4.) Yearly Budget'!P168,IF(L$163&gt;0,'4.) Yearly Budget'!M168,IF(I$163&gt;0,'4.) Yearly Budget'!J168,0))))</f>
        <v>0</v>
      </c>
      <c r="AA168" s="339">
        <f t="shared" si="106"/>
        <v>0</v>
      </c>
      <c r="AB168" s="76"/>
      <c r="AC168" s="76"/>
      <c r="AD168" s="379">
        <f>IF(U$163&gt;0,'4.) Yearly Budget'!I168,0)</f>
        <v>0</v>
      </c>
      <c r="AE168" s="82">
        <f t="shared" si="107"/>
        <v>0</v>
      </c>
      <c r="AF168" s="240"/>
    </row>
    <row r="169" spans="1:32">
      <c r="A169" s="221">
        <f t="shared" si="83"/>
        <v>169</v>
      </c>
      <c r="B169" s="77"/>
      <c r="E169" s="1" t="str">
        <f t="shared" si="98"/>
        <v>-</v>
      </c>
      <c r="I169" s="440">
        <f>'2.) Enrollment'!P28</f>
        <v>0</v>
      </c>
      <c r="J169" s="83">
        <f>IF('4.) Yearly Budget'!$K$18&gt;0,'4.) Yearly Budget'!K169,'4.) Yearly Budget'!J169)</f>
        <v>0</v>
      </c>
      <c r="K169" s="340">
        <f t="shared" si="99"/>
        <v>0</v>
      </c>
      <c r="L169" s="501">
        <f>'2.) Enrollment'!Q28</f>
        <v>0</v>
      </c>
      <c r="M169" s="83">
        <f>IF('4.) Yearly Budget'!$N$18&gt;0,'4.) Yearly Budget'!N169,'4.) Yearly Budget'!M169)</f>
        <v>0</v>
      </c>
      <c r="N169" s="340">
        <f t="shared" si="100"/>
        <v>0</v>
      </c>
      <c r="O169" s="501">
        <f>'2.) Enrollment'!R28</f>
        <v>0</v>
      </c>
      <c r="P169" s="83">
        <f>IF('4.) Yearly Budget'!$Q$18&gt;0,'4.) Yearly Budget'!Q169,'4.) Yearly Budget'!P169)</f>
        <v>0</v>
      </c>
      <c r="Q169" s="340">
        <f t="shared" si="101"/>
        <v>0</v>
      </c>
      <c r="R169" s="501">
        <f>'2.) Enrollment'!S28</f>
        <v>0</v>
      </c>
      <c r="S169" s="83">
        <f>IF('4.) Yearly Budget'!$T$18&gt;0,'4.) Yearly Budget'!T169,'4.) Yearly Budget'!S169)</f>
        <v>0</v>
      </c>
      <c r="T169" s="86">
        <f t="shared" si="102"/>
        <v>0</v>
      </c>
      <c r="U169" s="245">
        <f t="shared" si="103"/>
        <v>0</v>
      </c>
      <c r="V169" s="376">
        <f t="shared" si="104"/>
        <v>0</v>
      </c>
      <c r="W169" s="337">
        <f t="shared" si="105"/>
        <v>0</v>
      </c>
      <c r="X169" s="380"/>
      <c r="Y169" s="76"/>
      <c r="Z169" s="379">
        <f>IF(R$163&gt;0,'4.) Yearly Budget'!S169,IF(O$163&gt;0,'4.) Yearly Budget'!P169,IF(L$163&gt;0,'4.) Yearly Budget'!M169,IF(I$163&gt;0,'4.) Yearly Budget'!J169,0))))</f>
        <v>0</v>
      </c>
      <c r="AA169" s="339">
        <f t="shared" si="106"/>
        <v>0</v>
      </c>
      <c r="AB169" s="76"/>
      <c r="AC169" s="76"/>
      <c r="AD169" s="379">
        <f>IF(U$163&gt;0,'4.) Yearly Budget'!I169,0)</f>
        <v>0</v>
      </c>
      <c r="AE169" s="82">
        <f t="shared" si="107"/>
        <v>0</v>
      </c>
      <c r="AF169" s="240"/>
    </row>
    <row r="170" spans="1:32">
      <c r="A170" s="221">
        <f t="shared" si="83"/>
        <v>170</v>
      </c>
      <c r="B170" s="77"/>
      <c r="E170" s="1" t="str">
        <f t="shared" si="98"/>
        <v>-</v>
      </c>
      <c r="I170" s="440">
        <f>'2.) Enrollment'!P29</f>
        <v>0</v>
      </c>
      <c r="J170" s="83">
        <f>IF('4.) Yearly Budget'!$K$18&gt;0,'4.) Yearly Budget'!K170,'4.) Yearly Budget'!J170)</f>
        <v>0</v>
      </c>
      <c r="K170" s="340">
        <f t="shared" si="99"/>
        <v>0</v>
      </c>
      <c r="L170" s="501">
        <f>'2.) Enrollment'!Q29</f>
        <v>0</v>
      </c>
      <c r="M170" s="83">
        <f>IF('4.) Yearly Budget'!$N$18&gt;0,'4.) Yearly Budget'!N170,'4.) Yearly Budget'!M170)</f>
        <v>0</v>
      </c>
      <c r="N170" s="340">
        <f t="shared" si="100"/>
        <v>0</v>
      </c>
      <c r="O170" s="501">
        <f>'2.) Enrollment'!R29</f>
        <v>0</v>
      </c>
      <c r="P170" s="83">
        <f>IF('4.) Yearly Budget'!$Q$18&gt;0,'4.) Yearly Budget'!Q170,'4.) Yearly Budget'!P170)</f>
        <v>0</v>
      </c>
      <c r="Q170" s="340">
        <f t="shared" si="101"/>
        <v>0</v>
      </c>
      <c r="R170" s="501">
        <f>'2.) Enrollment'!S29</f>
        <v>0</v>
      </c>
      <c r="S170" s="83">
        <f>IF('4.) Yearly Budget'!$T$18&gt;0,'4.) Yearly Budget'!T170,'4.) Yearly Budget'!S170)</f>
        <v>0</v>
      </c>
      <c r="T170" s="86">
        <f t="shared" si="102"/>
        <v>0</v>
      </c>
      <c r="U170" s="245">
        <f t="shared" si="103"/>
        <v>0</v>
      </c>
      <c r="V170" s="376">
        <f t="shared" si="104"/>
        <v>0</v>
      </c>
      <c r="W170" s="337">
        <f t="shared" si="105"/>
        <v>0</v>
      </c>
      <c r="X170" s="380"/>
      <c r="Y170" s="76"/>
      <c r="Z170" s="379">
        <f>IF(R$163&gt;0,'4.) Yearly Budget'!S170,IF(O$163&gt;0,'4.) Yearly Budget'!P170,IF(L$163&gt;0,'4.) Yearly Budget'!M170,IF(I$163&gt;0,'4.) Yearly Budget'!J170,0))))</f>
        <v>0</v>
      </c>
      <c r="AA170" s="339">
        <f t="shared" si="106"/>
        <v>0</v>
      </c>
      <c r="AB170" s="76"/>
      <c r="AC170" s="76"/>
      <c r="AD170" s="379">
        <f>IF(U$163&gt;0,'4.) Yearly Budget'!I170,0)</f>
        <v>0</v>
      </c>
      <c r="AE170" s="82">
        <f t="shared" si="107"/>
        <v>0</v>
      </c>
      <c r="AF170" s="240"/>
    </row>
    <row r="171" spans="1:32">
      <c r="A171" s="221">
        <f t="shared" si="83"/>
        <v>171</v>
      </c>
      <c r="B171" s="77"/>
      <c r="E171" s="1" t="str">
        <f t="shared" si="98"/>
        <v>-</v>
      </c>
      <c r="I171" s="440">
        <f>'2.) Enrollment'!P30</f>
        <v>0</v>
      </c>
      <c r="J171" s="83">
        <f>IF('4.) Yearly Budget'!$K$18&gt;0,'4.) Yearly Budget'!K171,'4.) Yearly Budget'!J171)</f>
        <v>0</v>
      </c>
      <c r="K171" s="340">
        <f t="shared" si="99"/>
        <v>0</v>
      </c>
      <c r="L171" s="501">
        <f>'2.) Enrollment'!Q30</f>
        <v>0</v>
      </c>
      <c r="M171" s="83">
        <f>IF('4.) Yearly Budget'!$N$18&gt;0,'4.) Yearly Budget'!N171,'4.) Yearly Budget'!M171)</f>
        <v>0</v>
      </c>
      <c r="N171" s="340">
        <f t="shared" si="100"/>
        <v>0</v>
      </c>
      <c r="O171" s="501">
        <f>'2.) Enrollment'!R30</f>
        <v>0</v>
      </c>
      <c r="P171" s="83">
        <f>IF('4.) Yearly Budget'!$Q$18&gt;0,'4.) Yearly Budget'!Q171,'4.) Yearly Budget'!P171)</f>
        <v>0</v>
      </c>
      <c r="Q171" s="340">
        <f t="shared" si="101"/>
        <v>0</v>
      </c>
      <c r="R171" s="501">
        <f>'2.) Enrollment'!S30</f>
        <v>0</v>
      </c>
      <c r="S171" s="83">
        <f>IF('4.) Yearly Budget'!$T$18&gt;0,'4.) Yearly Budget'!T171,'4.) Yearly Budget'!S171)</f>
        <v>0</v>
      </c>
      <c r="T171" s="86">
        <f t="shared" si="102"/>
        <v>0</v>
      </c>
      <c r="U171" s="245">
        <f t="shared" si="103"/>
        <v>0</v>
      </c>
      <c r="V171" s="376">
        <f t="shared" si="104"/>
        <v>0</v>
      </c>
      <c r="W171" s="337">
        <f t="shared" si="105"/>
        <v>0</v>
      </c>
      <c r="X171" s="380"/>
      <c r="Y171" s="76"/>
      <c r="Z171" s="379">
        <f>IF(R$163&gt;0,'4.) Yearly Budget'!S171,IF(O$163&gt;0,'4.) Yearly Budget'!P171,IF(L$163&gt;0,'4.) Yearly Budget'!M171,IF(I$163&gt;0,'4.) Yearly Budget'!J171,0))))</f>
        <v>0</v>
      </c>
      <c r="AA171" s="339">
        <f t="shared" si="106"/>
        <v>0</v>
      </c>
      <c r="AB171" s="76"/>
      <c r="AC171" s="76"/>
      <c r="AD171" s="379">
        <f>IF(U$163&gt;0,'4.) Yearly Budget'!I171,0)</f>
        <v>0</v>
      </c>
      <c r="AE171" s="82">
        <f t="shared" si="107"/>
        <v>0</v>
      </c>
      <c r="AF171" s="240"/>
    </row>
    <row r="172" spans="1:32">
      <c r="A172" s="221">
        <f t="shared" si="83"/>
        <v>172</v>
      </c>
      <c r="B172" s="77"/>
      <c r="E172" s="1" t="str">
        <f t="shared" si="98"/>
        <v>-</v>
      </c>
      <c r="I172" s="440">
        <f>'2.) Enrollment'!P31</f>
        <v>0</v>
      </c>
      <c r="J172" s="83">
        <f>IF('4.) Yearly Budget'!$K$18&gt;0,'4.) Yearly Budget'!K172,'4.) Yearly Budget'!J172)</f>
        <v>0</v>
      </c>
      <c r="K172" s="340">
        <f t="shared" si="99"/>
        <v>0</v>
      </c>
      <c r="L172" s="501">
        <f>'2.) Enrollment'!Q31</f>
        <v>0</v>
      </c>
      <c r="M172" s="83">
        <f>IF('4.) Yearly Budget'!$N$18&gt;0,'4.) Yearly Budget'!N172,'4.) Yearly Budget'!M172)</f>
        <v>0</v>
      </c>
      <c r="N172" s="340">
        <f t="shared" si="100"/>
        <v>0</v>
      </c>
      <c r="O172" s="501">
        <f>'2.) Enrollment'!R31</f>
        <v>0</v>
      </c>
      <c r="P172" s="83">
        <f>IF('4.) Yearly Budget'!$Q$18&gt;0,'4.) Yearly Budget'!Q172,'4.) Yearly Budget'!P172)</f>
        <v>0</v>
      </c>
      <c r="Q172" s="340">
        <f t="shared" si="101"/>
        <v>0</v>
      </c>
      <c r="R172" s="501">
        <f>'2.) Enrollment'!S31</f>
        <v>0</v>
      </c>
      <c r="S172" s="83">
        <f>IF('4.) Yearly Budget'!$T$18&gt;0,'4.) Yearly Budget'!T172,'4.) Yearly Budget'!S172)</f>
        <v>0</v>
      </c>
      <c r="T172" s="86">
        <f t="shared" si="102"/>
        <v>0</v>
      </c>
      <c r="U172" s="245">
        <f t="shared" si="103"/>
        <v>0</v>
      </c>
      <c r="V172" s="376">
        <f t="shared" si="104"/>
        <v>0</v>
      </c>
      <c r="W172" s="337">
        <f t="shared" si="105"/>
        <v>0</v>
      </c>
      <c r="X172" s="380"/>
      <c r="Y172" s="76"/>
      <c r="Z172" s="379">
        <f>IF(R$163&gt;0,'4.) Yearly Budget'!S172,IF(O$163&gt;0,'4.) Yearly Budget'!P172,IF(L$163&gt;0,'4.) Yearly Budget'!M172,IF(I$163&gt;0,'4.) Yearly Budget'!J172,0))))</f>
        <v>0</v>
      </c>
      <c r="AA172" s="339">
        <f t="shared" si="106"/>
        <v>0</v>
      </c>
      <c r="AB172" s="76"/>
      <c r="AC172" s="76"/>
      <c r="AD172" s="379">
        <f>IF(U$163&gt;0,'4.) Yearly Budget'!I172,0)</f>
        <v>0</v>
      </c>
      <c r="AE172" s="82">
        <f t="shared" si="107"/>
        <v>0</v>
      </c>
      <c r="AF172" s="240"/>
    </row>
    <row r="173" spans="1:32">
      <c r="A173" s="221">
        <f t="shared" si="83"/>
        <v>173</v>
      </c>
      <c r="B173" s="77"/>
      <c r="E173" s="1" t="str">
        <f t="shared" si="98"/>
        <v>-</v>
      </c>
      <c r="I173" s="440">
        <f>'2.) Enrollment'!P32</f>
        <v>0</v>
      </c>
      <c r="J173" s="83">
        <f>IF('4.) Yearly Budget'!$K$18&gt;0,'4.) Yearly Budget'!K173,'4.) Yearly Budget'!J173)</f>
        <v>0</v>
      </c>
      <c r="K173" s="340">
        <f t="shared" si="99"/>
        <v>0</v>
      </c>
      <c r="L173" s="501">
        <f>'2.) Enrollment'!Q32</f>
        <v>0</v>
      </c>
      <c r="M173" s="83">
        <f>IF('4.) Yearly Budget'!$N$18&gt;0,'4.) Yearly Budget'!N173,'4.) Yearly Budget'!M173)</f>
        <v>0</v>
      </c>
      <c r="N173" s="340">
        <f t="shared" si="100"/>
        <v>0</v>
      </c>
      <c r="O173" s="501">
        <f>'2.) Enrollment'!R32</f>
        <v>0</v>
      </c>
      <c r="P173" s="83">
        <f>IF('4.) Yearly Budget'!$Q$18&gt;0,'4.) Yearly Budget'!Q173,'4.) Yearly Budget'!P173)</f>
        <v>0</v>
      </c>
      <c r="Q173" s="340">
        <f t="shared" si="101"/>
        <v>0</v>
      </c>
      <c r="R173" s="501">
        <f>'2.) Enrollment'!S32</f>
        <v>0</v>
      </c>
      <c r="S173" s="83">
        <f>IF('4.) Yearly Budget'!$T$18&gt;0,'4.) Yearly Budget'!T173,'4.) Yearly Budget'!S173)</f>
        <v>0</v>
      </c>
      <c r="T173" s="86">
        <f t="shared" si="102"/>
        <v>0</v>
      </c>
      <c r="U173" s="245">
        <f t="shared" si="103"/>
        <v>0</v>
      </c>
      <c r="V173" s="376">
        <f t="shared" si="104"/>
        <v>0</v>
      </c>
      <c r="W173" s="337">
        <f t="shared" si="105"/>
        <v>0</v>
      </c>
      <c r="X173" s="380"/>
      <c r="Y173" s="76"/>
      <c r="Z173" s="379">
        <f>IF(R$163&gt;0,'4.) Yearly Budget'!S173,IF(O$163&gt;0,'4.) Yearly Budget'!P173,IF(L$163&gt;0,'4.) Yearly Budget'!M173,IF(I$163&gt;0,'4.) Yearly Budget'!J173,0))))</f>
        <v>0</v>
      </c>
      <c r="AA173" s="339">
        <f t="shared" si="106"/>
        <v>0</v>
      </c>
      <c r="AB173" s="76"/>
      <c r="AC173" s="76"/>
      <c r="AD173" s="379">
        <f>IF(U$163&gt;0,'4.) Yearly Budget'!I173,0)</f>
        <v>0</v>
      </c>
      <c r="AE173" s="82">
        <f t="shared" si="107"/>
        <v>0</v>
      </c>
      <c r="AF173" s="240"/>
    </row>
    <row r="174" spans="1:32">
      <c r="A174" s="221">
        <f t="shared" si="83"/>
        <v>174</v>
      </c>
      <c r="B174" s="77"/>
      <c r="E174" s="1" t="str">
        <f t="shared" si="98"/>
        <v>-</v>
      </c>
      <c r="I174" s="440">
        <f>'2.) Enrollment'!P33</f>
        <v>0</v>
      </c>
      <c r="J174" s="83">
        <f>IF('4.) Yearly Budget'!$K$18&gt;0,'4.) Yearly Budget'!K174,'4.) Yearly Budget'!J174)</f>
        <v>0</v>
      </c>
      <c r="K174" s="340">
        <f t="shared" si="99"/>
        <v>0</v>
      </c>
      <c r="L174" s="501">
        <f>'2.) Enrollment'!Q33</f>
        <v>0</v>
      </c>
      <c r="M174" s="83">
        <f>IF('4.) Yearly Budget'!$N$18&gt;0,'4.) Yearly Budget'!N174,'4.) Yearly Budget'!M174)</f>
        <v>0</v>
      </c>
      <c r="N174" s="340">
        <f t="shared" si="100"/>
        <v>0</v>
      </c>
      <c r="O174" s="501">
        <f>'2.) Enrollment'!R33</f>
        <v>0</v>
      </c>
      <c r="P174" s="83">
        <f>IF('4.) Yearly Budget'!$Q$18&gt;0,'4.) Yearly Budget'!Q174,'4.) Yearly Budget'!P174)</f>
        <v>0</v>
      </c>
      <c r="Q174" s="340">
        <f t="shared" si="101"/>
        <v>0</v>
      </c>
      <c r="R174" s="501">
        <f>'2.) Enrollment'!S33</f>
        <v>0</v>
      </c>
      <c r="S174" s="83">
        <f>IF('4.) Yearly Budget'!$T$18&gt;0,'4.) Yearly Budget'!T174,'4.) Yearly Budget'!S174)</f>
        <v>0</v>
      </c>
      <c r="T174" s="86">
        <f t="shared" si="102"/>
        <v>0</v>
      </c>
      <c r="U174" s="245">
        <f t="shared" si="103"/>
        <v>0</v>
      </c>
      <c r="V174" s="376">
        <f t="shared" si="104"/>
        <v>0</v>
      </c>
      <c r="W174" s="337">
        <f t="shared" si="105"/>
        <v>0</v>
      </c>
      <c r="X174" s="380"/>
      <c r="Y174" s="76"/>
      <c r="Z174" s="379">
        <f>IF(R$163&gt;0,'4.) Yearly Budget'!S174,IF(O$163&gt;0,'4.) Yearly Budget'!P174,IF(L$163&gt;0,'4.) Yearly Budget'!M174,IF(I$163&gt;0,'4.) Yearly Budget'!J174,0))))</f>
        <v>0</v>
      </c>
      <c r="AA174" s="339">
        <f t="shared" si="106"/>
        <v>0</v>
      </c>
      <c r="AB174" s="76"/>
      <c r="AC174" s="76"/>
      <c r="AD174" s="379">
        <f>IF(U$163&gt;0,'4.) Yearly Budget'!I174,0)</f>
        <v>0</v>
      </c>
      <c r="AE174" s="82">
        <f t="shared" si="107"/>
        <v>0</v>
      </c>
      <c r="AF174" s="240"/>
    </row>
    <row r="175" spans="1:32">
      <c r="A175" s="221">
        <f t="shared" si="83"/>
        <v>175</v>
      </c>
      <c r="B175" s="77"/>
      <c r="E175" s="1" t="str">
        <f t="shared" si="98"/>
        <v>-</v>
      </c>
      <c r="I175" s="440">
        <f>'2.) Enrollment'!P34</f>
        <v>0</v>
      </c>
      <c r="J175" s="83">
        <f>IF('4.) Yearly Budget'!$K$18&gt;0,'4.) Yearly Budget'!K175,'4.) Yearly Budget'!J175)</f>
        <v>0</v>
      </c>
      <c r="K175" s="340">
        <f t="shared" si="99"/>
        <v>0</v>
      </c>
      <c r="L175" s="501">
        <f>'2.) Enrollment'!Q34</f>
        <v>0</v>
      </c>
      <c r="M175" s="83">
        <f>IF('4.) Yearly Budget'!$N$18&gt;0,'4.) Yearly Budget'!N175,'4.) Yearly Budget'!M175)</f>
        <v>0</v>
      </c>
      <c r="N175" s="340">
        <f t="shared" si="100"/>
        <v>0</v>
      </c>
      <c r="O175" s="501">
        <f>'2.) Enrollment'!R34</f>
        <v>0</v>
      </c>
      <c r="P175" s="83">
        <f>IF('4.) Yearly Budget'!$Q$18&gt;0,'4.) Yearly Budget'!Q175,'4.) Yearly Budget'!P175)</f>
        <v>0</v>
      </c>
      <c r="Q175" s="340">
        <f t="shared" si="101"/>
        <v>0</v>
      </c>
      <c r="R175" s="501">
        <f>'2.) Enrollment'!S34</f>
        <v>0</v>
      </c>
      <c r="S175" s="83">
        <f>IF('4.) Yearly Budget'!$T$18&gt;0,'4.) Yearly Budget'!T175,'4.) Yearly Budget'!S175)</f>
        <v>0</v>
      </c>
      <c r="T175" s="86">
        <f t="shared" si="102"/>
        <v>0</v>
      </c>
      <c r="U175" s="245">
        <f t="shared" si="103"/>
        <v>0</v>
      </c>
      <c r="V175" s="376">
        <f t="shared" si="104"/>
        <v>0</v>
      </c>
      <c r="W175" s="337">
        <f t="shared" si="105"/>
        <v>0</v>
      </c>
      <c r="X175" s="380"/>
      <c r="Y175" s="76"/>
      <c r="Z175" s="379">
        <f>IF(R$163&gt;0,'4.) Yearly Budget'!S175,IF(O$163&gt;0,'4.) Yearly Budget'!P175,IF(L$163&gt;0,'4.) Yearly Budget'!M175,IF(I$163&gt;0,'4.) Yearly Budget'!J175,0))))</f>
        <v>0</v>
      </c>
      <c r="AA175" s="339">
        <f t="shared" si="106"/>
        <v>0</v>
      </c>
      <c r="AB175" s="76"/>
      <c r="AC175" s="76"/>
      <c r="AD175" s="379">
        <f>IF(U$163&gt;0,'4.) Yearly Budget'!I175,0)</f>
        <v>0</v>
      </c>
      <c r="AE175" s="82">
        <f t="shared" si="107"/>
        <v>0</v>
      </c>
      <c r="AF175" s="240"/>
    </row>
    <row r="176" spans="1:32">
      <c r="A176" s="221">
        <f t="shared" si="83"/>
        <v>176</v>
      </c>
      <c r="B176" s="77"/>
      <c r="E176" s="1" t="str">
        <f t="shared" si="98"/>
        <v>-</v>
      </c>
      <c r="I176" s="440">
        <f>'2.) Enrollment'!P35</f>
        <v>0</v>
      </c>
      <c r="J176" s="83">
        <f>IF('4.) Yearly Budget'!$K$18&gt;0,'4.) Yearly Budget'!K176,'4.) Yearly Budget'!J176)</f>
        <v>0</v>
      </c>
      <c r="K176" s="340">
        <f t="shared" si="99"/>
        <v>0</v>
      </c>
      <c r="L176" s="501">
        <f>'2.) Enrollment'!Q35</f>
        <v>0</v>
      </c>
      <c r="M176" s="83">
        <f>IF('4.) Yearly Budget'!$N$18&gt;0,'4.) Yearly Budget'!N176,'4.) Yearly Budget'!M176)</f>
        <v>0</v>
      </c>
      <c r="N176" s="340">
        <f t="shared" si="100"/>
        <v>0</v>
      </c>
      <c r="O176" s="501">
        <f>'2.) Enrollment'!R35</f>
        <v>0</v>
      </c>
      <c r="P176" s="83">
        <f>IF('4.) Yearly Budget'!$Q$18&gt;0,'4.) Yearly Budget'!Q176,'4.) Yearly Budget'!P176)</f>
        <v>0</v>
      </c>
      <c r="Q176" s="340">
        <f t="shared" si="101"/>
        <v>0</v>
      </c>
      <c r="R176" s="501">
        <f>'2.) Enrollment'!S35</f>
        <v>0</v>
      </c>
      <c r="S176" s="83">
        <f>IF('4.) Yearly Budget'!$T$18&gt;0,'4.) Yearly Budget'!T176,'4.) Yearly Budget'!S176)</f>
        <v>0</v>
      </c>
      <c r="T176" s="86">
        <f t="shared" si="102"/>
        <v>0</v>
      </c>
      <c r="U176" s="245">
        <f t="shared" si="103"/>
        <v>0</v>
      </c>
      <c r="V176" s="376">
        <f t="shared" si="104"/>
        <v>0</v>
      </c>
      <c r="W176" s="337">
        <f t="shared" si="105"/>
        <v>0</v>
      </c>
      <c r="X176" s="380"/>
      <c r="Y176" s="76"/>
      <c r="Z176" s="379">
        <f>IF(R$163&gt;0,'4.) Yearly Budget'!S176,IF(O$163&gt;0,'4.) Yearly Budget'!P176,IF(L$163&gt;0,'4.) Yearly Budget'!M176,IF(I$163&gt;0,'4.) Yearly Budget'!J176,0))))</f>
        <v>0</v>
      </c>
      <c r="AA176" s="339">
        <f t="shared" si="106"/>
        <v>0</v>
      </c>
      <c r="AB176" s="76"/>
      <c r="AC176" s="76"/>
      <c r="AD176" s="379">
        <f>IF(U$163&gt;0,'4.) Yearly Budget'!I176,0)</f>
        <v>0</v>
      </c>
      <c r="AE176" s="82">
        <f t="shared" si="107"/>
        <v>0</v>
      </c>
      <c r="AF176" s="240"/>
    </row>
    <row r="177" spans="1:32">
      <c r="A177" s="221">
        <f t="shared" si="83"/>
        <v>177</v>
      </c>
      <c r="B177" s="77"/>
      <c r="E177" s="1" t="str">
        <f t="shared" si="98"/>
        <v>-</v>
      </c>
      <c r="I177" s="440">
        <f>'2.) Enrollment'!P36</f>
        <v>0</v>
      </c>
      <c r="J177" s="83">
        <f>IF('4.) Yearly Budget'!$K$18&gt;0,'4.) Yearly Budget'!K177,'4.) Yearly Budget'!J177)</f>
        <v>0</v>
      </c>
      <c r="K177" s="340">
        <f t="shared" si="99"/>
        <v>0</v>
      </c>
      <c r="L177" s="501">
        <f>'2.) Enrollment'!Q36</f>
        <v>0</v>
      </c>
      <c r="M177" s="83">
        <f>IF('4.) Yearly Budget'!$N$18&gt;0,'4.) Yearly Budget'!N177,'4.) Yearly Budget'!M177)</f>
        <v>0</v>
      </c>
      <c r="N177" s="340">
        <f t="shared" si="100"/>
        <v>0</v>
      </c>
      <c r="O177" s="501">
        <f>'2.) Enrollment'!R36</f>
        <v>0</v>
      </c>
      <c r="P177" s="83">
        <f>IF('4.) Yearly Budget'!$Q$18&gt;0,'4.) Yearly Budget'!Q177,'4.) Yearly Budget'!P177)</f>
        <v>0</v>
      </c>
      <c r="Q177" s="340">
        <f t="shared" si="101"/>
        <v>0</v>
      </c>
      <c r="R177" s="501">
        <f>'2.) Enrollment'!S36</f>
        <v>0</v>
      </c>
      <c r="S177" s="83">
        <f>IF('4.) Yearly Budget'!$T$18&gt;0,'4.) Yearly Budget'!T177,'4.) Yearly Budget'!S177)</f>
        <v>0</v>
      </c>
      <c r="T177" s="86">
        <f t="shared" si="102"/>
        <v>0</v>
      </c>
      <c r="U177" s="245">
        <f t="shared" si="103"/>
        <v>0</v>
      </c>
      <c r="V177" s="376">
        <f t="shared" si="104"/>
        <v>0</v>
      </c>
      <c r="W177" s="337">
        <f t="shared" si="105"/>
        <v>0</v>
      </c>
      <c r="X177" s="380"/>
      <c r="Y177" s="76"/>
      <c r="Z177" s="379">
        <f>IF(R$163&gt;0,'4.) Yearly Budget'!S177,IF(O$163&gt;0,'4.) Yearly Budget'!P177,IF(L$163&gt;0,'4.) Yearly Budget'!M177,IF(I$163&gt;0,'4.) Yearly Budget'!J177,0))))</f>
        <v>0</v>
      </c>
      <c r="AA177" s="339">
        <f t="shared" si="106"/>
        <v>0</v>
      </c>
      <c r="AB177" s="76"/>
      <c r="AC177" s="76"/>
      <c r="AD177" s="379">
        <f>IF(U$163&gt;0,'4.) Yearly Budget'!I177,0)</f>
        <v>0</v>
      </c>
      <c r="AE177" s="82">
        <f t="shared" si="107"/>
        <v>0</v>
      </c>
      <c r="AF177" s="240"/>
    </row>
    <row r="178" spans="1:32" ht="17.25">
      <c r="A178" s="221">
        <f t="shared" si="83"/>
        <v>178</v>
      </c>
      <c r="B178" s="77"/>
      <c r="E178" s="1" t="str">
        <f t="shared" si="98"/>
        <v>ALL OTHER School Districts: ( Count = 0 )</v>
      </c>
      <c r="H178" s="128"/>
      <c r="I178" s="440">
        <f>SUM('2.) Enrollment'!P37:P71)</f>
        <v>0</v>
      </c>
      <c r="J178" s="83">
        <f>IF('4.) Yearly Budget'!$K$18&gt;0,'4.) Yearly Budget'!K178,'4.) Yearly Budget'!J178)</f>
        <v>0</v>
      </c>
      <c r="K178" s="340">
        <f t="shared" si="99"/>
        <v>0</v>
      </c>
      <c r="L178" s="440">
        <f>SUM('2.) Enrollment'!Q37:Q71)</f>
        <v>0</v>
      </c>
      <c r="M178" s="83">
        <f>IF('4.) Yearly Budget'!$N$18&gt;0,'4.) Yearly Budget'!N178,'4.) Yearly Budget'!M178)</f>
        <v>0</v>
      </c>
      <c r="N178" s="340">
        <f t="shared" si="100"/>
        <v>0</v>
      </c>
      <c r="O178" s="440">
        <f>SUM('2.) Enrollment'!R37:R71)</f>
        <v>0</v>
      </c>
      <c r="P178" s="83">
        <f>IF('4.) Yearly Budget'!$Q$18&gt;0,'4.) Yearly Budget'!Q178,'4.) Yearly Budget'!P178)</f>
        <v>0</v>
      </c>
      <c r="Q178" s="340">
        <f t="shared" si="101"/>
        <v>0</v>
      </c>
      <c r="R178" s="440">
        <f>SUM('2.) Enrollment'!S37:S71)</f>
        <v>0</v>
      </c>
      <c r="S178" s="83">
        <f>IF('4.) Yearly Budget'!$T$18&gt;0,'4.) Yearly Budget'!T178,'4.) Yearly Budget'!S178)</f>
        <v>0</v>
      </c>
      <c r="T178" s="86">
        <f t="shared" si="102"/>
        <v>0</v>
      </c>
      <c r="U178" s="245">
        <f t="shared" si="103"/>
        <v>0</v>
      </c>
      <c r="V178" s="376">
        <f t="shared" si="104"/>
        <v>0</v>
      </c>
      <c r="W178" s="337">
        <f t="shared" si="105"/>
        <v>0</v>
      </c>
      <c r="X178" s="380"/>
      <c r="Y178" s="76"/>
      <c r="Z178" s="379">
        <f>IF(R$163&gt;0,'4.) Yearly Budget'!S178,IF(O$163&gt;0,'4.) Yearly Budget'!P178,IF(L$163&gt;0,'4.) Yearly Budget'!M178,IF(I$163&gt;0,'4.) Yearly Budget'!J178,0))))</f>
        <v>0</v>
      </c>
      <c r="AA178" s="339">
        <f t="shared" si="106"/>
        <v>0</v>
      </c>
      <c r="AB178" s="76"/>
      <c r="AC178" s="76"/>
      <c r="AD178" s="379">
        <f>IF(U$163&gt;0,'4.) Yearly Budget'!I178,0)</f>
        <v>0</v>
      </c>
      <c r="AE178" s="82">
        <f t="shared" si="107"/>
        <v>0</v>
      </c>
      <c r="AF178" s="240"/>
    </row>
    <row r="179" spans="1:32" ht="17.25">
      <c r="A179" s="221">
        <f t="shared" si="83"/>
        <v>179</v>
      </c>
      <c r="B179" s="51" t="s">
        <v>93</v>
      </c>
      <c r="C179" s="26"/>
      <c r="D179" s="26"/>
      <c r="H179" s="122"/>
      <c r="I179" s="267">
        <f t="shared" ref="I179:W179" si="108">SUM(I163:I178)</f>
        <v>0</v>
      </c>
      <c r="J179" s="381">
        <f t="shared" si="108"/>
        <v>0</v>
      </c>
      <c r="K179" s="382">
        <f t="shared" si="108"/>
        <v>0</v>
      </c>
      <c r="L179" s="383">
        <f t="shared" si="108"/>
        <v>0</v>
      </c>
      <c r="M179" s="381">
        <f t="shared" si="108"/>
        <v>0</v>
      </c>
      <c r="N179" s="382">
        <f t="shared" si="108"/>
        <v>0</v>
      </c>
      <c r="O179" s="383">
        <f t="shared" si="108"/>
        <v>0</v>
      </c>
      <c r="P179" s="381">
        <f t="shared" si="108"/>
        <v>0</v>
      </c>
      <c r="Q179" s="382">
        <f t="shared" si="108"/>
        <v>0</v>
      </c>
      <c r="R179" s="383">
        <f t="shared" si="108"/>
        <v>0</v>
      </c>
      <c r="S179" s="381">
        <f t="shared" si="108"/>
        <v>0</v>
      </c>
      <c r="T179" s="384">
        <f t="shared" si="108"/>
        <v>0</v>
      </c>
      <c r="U179" s="385">
        <f t="shared" si="108"/>
        <v>0</v>
      </c>
      <c r="V179" s="386">
        <f t="shared" si="108"/>
        <v>0</v>
      </c>
      <c r="W179" s="386">
        <f t="shared" si="108"/>
        <v>0</v>
      </c>
      <c r="X179" s="387"/>
      <c r="Y179" s="122"/>
      <c r="Z179" s="388">
        <f>SUM(Z163:Z178)</f>
        <v>0</v>
      </c>
      <c r="AA179" s="389">
        <f>SUM(AA163:AA178)</f>
        <v>0</v>
      </c>
      <c r="AB179" s="122"/>
      <c r="AC179" s="122"/>
      <c r="AD179" s="388">
        <f>SUM(AD163:AD178)</f>
        <v>0</v>
      </c>
      <c r="AE179" s="268">
        <f>SUM(AE163:AE178)</f>
        <v>0</v>
      </c>
      <c r="AF179" s="240"/>
    </row>
    <row r="180" spans="1:32" ht="7.5" customHeight="1">
      <c r="A180" s="221">
        <f t="shared" si="83"/>
        <v>180</v>
      </c>
      <c r="B180" s="65"/>
      <c r="C180" s="1"/>
      <c r="D180" s="1"/>
      <c r="I180" s="120"/>
      <c r="J180" s="120"/>
      <c r="K180" s="120"/>
      <c r="L180" s="120"/>
      <c r="M180" s="120"/>
      <c r="N180" s="120"/>
      <c r="O180" s="120"/>
      <c r="P180" s="120"/>
      <c r="Q180" s="120"/>
      <c r="R180" s="120"/>
      <c r="S180" s="120"/>
      <c r="T180" s="269"/>
      <c r="U180" s="120"/>
      <c r="V180" s="120"/>
      <c r="W180" s="120"/>
      <c r="X180" s="39"/>
      <c r="Y180" s="39"/>
      <c r="Z180" s="39"/>
      <c r="AA180" s="39"/>
      <c r="AB180" s="39"/>
      <c r="AC180" s="39"/>
      <c r="AD180" s="39"/>
      <c r="AE180" s="390"/>
      <c r="AF180" s="240"/>
    </row>
    <row r="181" spans="1:32" ht="17.25">
      <c r="A181" s="221">
        <f t="shared" si="83"/>
        <v>181</v>
      </c>
      <c r="B181" s="74" t="s">
        <v>94</v>
      </c>
      <c r="C181" s="75"/>
      <c r="D181" s="75"/>
      <c r="H181" s="122"/>
      <c r="I181" s="270">
        <f>IF(I179&gt;0,I66/I179,0)</f>
        <v>0</v>
      </c>
      <c r="J181" s="271">
        <f>IF(J179&gt;0,J66/J179,0)</f>
        <v>0</v>
      </c>
      <c r="K181" s="391">
        <f>IF(I$18&lt;&gt;0,I181-J181,0)</f>
        <v>0</v>
      </c>
      <c r="L181" s="392">
        <f>IF(L179&gt;0,L66/L179,0)</f>
        <v>0</v>
      </c>
      <c r="M181" s="271">
        <f>IF(M179&gt;0,M66/M179,0)</f>
        <v>0</v>
      </c>
      <c r="N181" s="391">
        <f>IF(L$18&lt;&gt;0,L181-M181,0)</f>
        <v>0</v>
      </c>
      <c r="O181" s="392">
        <f>IF(O179&gt;0,O66/O179,0)</f>
        <v>0</v>
      </c>
      <c r="P181" s="271">
        <f>IF(P179&gt;0,P66/P179,0)</f>
        <v>0</v>
      </c>
      <c r="Q181" s="391">
        <f>IF(O$18&lt;&gt;0,O181-P181,0)</f>
        <v>0</v>
      </c>
      <c r="R181" s="392">
        <f>IF(R179&gt;0,R66/R179,0)</f>
        <v>0</v>
      </c>
      <c r="S181" s="271">
        <f>IF(S179&gt;0,S66/S179,0)</f>
        <v>0</v>
      </c>
      <c r="T181" s="393">
        <f>IF(R$18&lt;&gt;0,R181-S181,0)</f>
        <v>0</v>
      </c>
      <c r="U181" s="394">
        <f>IF(U179&gt;0,U66/U179,0)</f>
        <v>0</v>
      </c>
      <c r="V181" s="129">
        <f>IF(V179&gt;0,V66/V179,0)</f>
        <v>0</v>
      </c>
      <c r="W181" s="129">
        <f>U181-V181</f>
        <v>0</v>
      </c>
      <c r="X181" s="395"/>
      <c r="Y181" s="121"/>
      <c r="Z181" s="396">
        <f>IF(Z179&gt;0,Z66/Z179,0)</f>
        <v>0</v>
      </c>
      <c r="AA181" s="129">
        <f>U181-Z181</f>
        <v>0</v>
      </c>
      <c r="AB181" s="121"/>
      <c r="AC181" s="121"/>
      <c r="AD181" s="396">
        <f>IF(AD179&gt;0,AD66/AD179,0)</f>
        <v>0</v>
      </c>
      <c r="AE181" s="397">
        <f>U181-AD181</f>
        <v>0</v>
      </c>
      <c r="AF181" s="240"/>
    </row>
    <row r="182" spans="1:32" ht="7.5" customHeight="1">
      <c r="A182" s="221">
        <f t="shared" si="83"/>
        <v>182</v>
      </c>
      <c r="B182" s="65"/>
      <c r="C182" s="1"/>
      <c r="D182" s="1"/>
      <c r="I182" s="120"/>
      <c r="J182" s="120"/>
      <c r="K182" s="120"/>
      <c r="L182" s="120"/>
      <c r="M182" s="120"/>
      <c r="N182" s="120"/>
      <c r="O182" s="120"/>
      <c r="P182" s="120"/>
      <c r="Q182" s="120"/>
      <c r="R182" s="120"/>
      <c r="S182" s="120"/>
      <c r="T182" s="269"/>
      <c r="U182" s="120"/>
      <c r="V182" s="120"/>
      <c r="W182" s="120"/>
      <c r="X182" s="39"/>
      <c r="Y182" s="39"/>
      <c r="Z182" s="120"/>
      <c r="AA182" s="120"/>
      <c r="AB182" s="39"/>
      <c r="AC182" s="39"/>
      <c r="AD182" s="120"/>
      <c r="AE182" s="390"/>
      <c r="AF182" s="240"/>
    </row>
    <row r="183" spans="1:32" ht="18" thickBot="1">
      <c r="A183" s="221">
        <f t="shared" si="83"/>
        <v>183</v>
      </c>
      <c r="B183" s="105" t="s">
        <v>95</v>
      </c>
      <c r="C183" s="106"/>
      <c r="D183" s="106"/>
      <c r="E183" s="272"/>
      <c r="F183" s="272"/>
      <c r="G183" s="273"/>
      <c r="H183" s="274"/>
      <c r="I183" s="275">
        <f>IF(I179&gt;0,I157/I179,0)</f>
        <v>0</v>
      </c>
      <c r="J183" s="276">
        <f>IF(J179&gt;0,J157/J179,0)</f>
        <v>0</v>
      </c>
      <c r="K183" s="398">
        <f>IF(I$18&lt;&gt;0,J183-I183,0)</f>
        <v>0</v>
      </c>
      <c r="L183" s="399">
        <f>IF(L179&gt;0,L157/L179,0)</f>
        <v>0</v>
      </c>
      <c r="M183" s="276">
        <f>IF(M179&gt;0,M157/M179,0)</f>
        <v>0</v>
      </c>
      <c r="N183" s="398">
        <f>IF(L$18&lt;&gt;0,M183-L183,0)</f>
        <v>0</v>
      </c>
      <c r="O183" s="399">
        <f>IF(O179&gt;0,O157/O179,0)</f>
        <v>0</v>
      </c>
      <c r="P183" s="276">
        <f>IF(P179&gt;0,P157/P179,0)</f>
        <v>0</v>
      </c>
      <c r="Q183" s="398">
        <f>IF(O$18&lt;&gt;0,P183-O183,0)</f>
        <v>0</v>
      </c>
      <c r="R183" s="399">
        <f>IF(R179&gt;0,R157/R179,0)</f>
        <v>0</v>
      </c>
      <c r="S183" s="276">
        <f>IF(S179&gt;0,S157/S179,0)</f>
        <v>0</v>
      </c>
      <c r="T183" s="400">
        <f>IF(R$18&lt;&gt;0,S183-R183,0)</f>
        <v>0</v>
      </c>
      <c r="U183" s="401">
        <f>IF(U179&gt;0,U157/U179,0)</f>
        <v>0</v>
      </c>
      <c r="V183" s="402">
        <f>IF(V179&gt;0,V157/V179,0)</f>
        <v>0</v>
      </c>
      <c r="W183" s="402">
        <f>V183-U183</f>
        <v>0</v>
      </c>
      <c r="X183" s="403"/>
      <c r="Y183" s="404"/>
      <c r="Z183" s="405">
        <f>IF(Z179&gt;0,Z157/Z179,0)</f>
        <v>0</v>
      </c>
      <c r="AA183" s="402">
        <f>Z183-U183</f>
        <v>0</v>
      </c>
      <c r="AB183" s="404"/>
      <c r="AC183" s="404"/>
      <c r="AD183" s="405">
        <f>IF(AD179&gt;0,AD157/AD179,0)</f>
        <v>0</v>
      </c>
      <c r="AE183" s="406">
        <f>AD183-U183</f>
        <v>0</v>
      </c>
      <c r="AF183" s="407"/>
    </row>
    <row r="184" spans="1:32" ht="15.75" thickTop="1">
      <c r="I184" s="408"/>
      <c r="J184" s="408"/>
      <c r="K184" s="408"/>
      <c r="L184" s="408"/>
      <c r="M184" s="408"/>
      <c r="N184" s="408"/>
      <c r="O184" s="408"/>
      <c r="P184" s="408"/>
      <c r="Q184" s="408"/>
      <c r="R184" s="408"/>
      <c r="S184" s="408"/>
      <c r="T184" s="408"/>
    </row>
  </sheetData>
  <sheetProtection algorithmName="SHA-512" hashValue="7ijN2iVFVaLIIs6C/oU1PGwBj7Hyoej+8GPU8VzKreJl/YNxyW/BQxCf+QZ37NaN0JM/ti4lAkM0dq5u4s0Vgw==" saltValue="p9h7SomIT5H7XLwh5SN4KA==" spinCount="100000" sheet="1" objects="1" scenarios="1"/>
  <mergeCells count="12">
    <mergeCell ref="U12:AE12"/>
    <mergeCell ref="B13:G13"/>
    <mergeCell ref="U2:AE2"/>
    <mergeCell ref="U3:AE3"/>
    <mergeCell ref="U4:AE4"/>
    <mergeCell ref="I12:K12"/>
    <mergeCell ref="L12:N12"/>
    <mergeCell ref="O12:Q12"/>
    <mergeCell ref="R12:T12"/>
    <mergeCell ref="I2:T2"/>
    <mergeCell ref="I3:T3"/>
    <mergeCell ref="I4:T4"/>
  </mergeCells>
  <conditionalFormatting sqref="C4:I4 U4:AE4">
    <cfRule type="expression" dxfId="47" priority="75">
      <formula>$I$4=Mssg2</formula>
    </cfRule>
  </conditionalFormatting>
  <conditionalFormatting sqref="E2">
    <cfRule type="notContainsBlanks" dxfId="46" priority="77">
      <formula>LEN(TRIM(E2))&gt;0</formula>
    </cfRule>
  </conditionalFormatting>
  <conditionalFormatting sqref="I2 U2:AE2">
    <cfRule type="expression" dxfId="45" priority="74">
      <formula>$I$2=Mssg1</formula>
    </cfRule>
  </conditionalFormatting>
  <printOptions horizontalCentered="1"/>
  <pageMargins left="0.28999999999999998" right="0.28999999999999998" top="0.31" bottom="0.28000000000000003" header="0.3" footer="0.3"/>
  <pageSetup scale="53" orientation="landscape" r:id="rId1"/>
  <headerFooter>
    <oddFooter>&amp;CPage &amp;P of &amp;N&amp;R&amp;F</oddFooter>
  </headerFooter>
  <rowBreaks count="3" manualBreakCount="3">
    <brk id="66" max="16383" man="1"/>
    <brk id="118" max="16383" man="1"/>
    <brk id="159" max="16383" man="1"/>
  </rowBreaks>
  <colBreaks count="1" manualBreakCount="1">
    <brk id="20" max="1048575" man="1"/>
  </colBreaks>
  <ignoredErrors>
    <ignoredError sqref="L9 O9 R9 N34 Q34 T34 K34 U34:AE34 K181:T183 K159:AA159" formula="1"/>
    <ignoredError sqref="I178 L178 O178 R178 M33:N33" formulaRange="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3366"/>
    <pageSetUpPr fitToPage="1"/>
  </sheetPr>
  <dimension ref="A1:D18"/>
  <sheetViews>
    <sheetView zoomScaleNormal="100" workbookViewId="0"/>
  </sheetViews>
  <sheetFormatPr defaultRowHeight="12.75"/>
  <cols>
    <col min="2" max="3" width="11.28515625" customWidth="1"/>
    <col min="4" max="4" width="49.140625" customWidth="1"/>
    <col min="258" max="259" width="11.28515625" customWidth="1"/>
    <col min="260" max="260" width="49.140625" customWidth="1"/>
    <col min="514" max="515" width="11.28515625" customWidth="1"/>
    <col min="516" max="516" width="49.140625" customWidth="1"/>
    <col min="770" max="771" width="11.28515625" customWidth="1"/>
    <col min="772" max="772" width="49.140625" customWidth="1"/>
    <col min="1026" max="1027" width="11.28515625" customWidth="1"/>
    <col min="1028" max="1028" width="49.140625" customWidth="1"/>
    <col min="1282" max="1283" width="11.28515625" customWidth="1"/>
    <col min="1284" max="1284" width="49.140625" customWidth="1"/>
    <col min="1538" max="1539" width="11.28515625" customWidth="1"/>
    <col min="1540" max="1540" width="49.140625" customWidth="1"/>
    <col min="1794" max="1795" width="11.28515625" customWidth="1"/>
    <col min="1796" max="1796" width="49.140625" customWidth="1"/>
    <col min="2050" max="2051" width="11.28515625" customWidth="1"/>
    <col min="2052" max="2052" width="49.140625" customWidth="1"/>
    <col min="2306" max="2307" width="11.28515625" customWidth="1"/>
    <col min="2308" max="2308" width="49.140625" customWidth="1"/>
    <col min="2562" max="2563" width="11.28515625" customWidth="1"/>
    <col min="2564" max="2564" width="49.140625" customWidth="1"/>
    <col min="2818" max="2819" width="11.28515625" customWidth="1"/>
    <col min="2820" max="2820" width="49.140625" customWidth="1"/>
    <col min="3074" max="3075" width="11.28515625" customWidth="1"/>
    <col min="3076" max="3076" width="49.140625" customWidth="1"/>
    <col min="3330" max="3331" width="11.28515625" customWidth="1"/>
    <col min="3332" max="3332" width="49.140625" customWidth="1"/>
    <col min="3586" max="3587" width="11.28515625" customWidth="1"/>
    <col min="3588" max="3588" width="49.140625" customWidth="1"/>
    <col min="3842" max="3843" width="11.28515625" customWidth="1"/>
    <col min="3844" max="3844" width="49.140625" customWidth="1"/>
    <col min="4098" max="4099" width="11.28515625" customWidth="1"/>
    <col min="4100" max="4100" width="49.140625" customWidth="1"/>
    <col min="4354" max="4355" width="11.28515625" customWidth="1"/>
    <col min="4356" max="4356" width="49.140625" customWidth="1"/>
    <col min="4610" max="4611" width="11.28515625" customWidth="1"/>
    <col min="4612" max="4612" width="49.140625" customWidth="1"/>
    <col min="4866" max="4867" width="11.28515625" customWidth="1"/>
    <col min="4868" max="4868" width="49.140625" customWidth="1"/>
    <col min="5122" max="5123" width="11.28515625" customWidth="1"/>
    <col min="5124" max="5124" width="49.140625" customWidth="1"/>
    <col min="5378" max="5379" width="11.28515625" customWidth="1"/>
    <col min="5380" max="5380" width="49.140625" customWidth="1"/>
    <col min="5634" max="5635" width="11.28515625" customWidth="1"/>
    <col min="5636" max="5636" width="49.140625" customWidth="1"/>
    <col min="5890" max="5891" width="11.28515625" customWidth="1"/>
    <col min="5892" max="5892" width="49.140625" customWidth="1"/>
    <col min="6146" max="6147" width="11.28515625" customWidth="1"/>
    <col min="6148" max="6148" width="49.140625" customWidth="1"/>
    <col min="6402" max="6403" width="11.28515625" customWidth="1"/>
    <col min="6404" max="6404" width="49.140625" customWidth="1"/>
    <col min="6658" max="6659" width="11.28515625" customWidth="1"/>
    <col min="6660" max="6660" width="49.140625" customWidth="1"/>
    <col min="6914" max="6915" width="11.28515625" customWidth="1"/>
    <col min="6916" max="6916" width="49.140625" customWidth="1"/>
    <col min="7170" max="7171" width="11.28515625" customWidth="1"/>
    <col min="7172" max="7172" width="49.140625" customWidth="1"/>
    <col min="7426" max="7427" width="11.28515625" customWidth="1"/>
    <col min="7428" max="7428" width="49.140625" customWidth="1"/>
    <col min="7682" max="7683" width="11.28515625" customWidth="1"/>
    <col min="7684" max="7684" width="49.140625" customWidth="1"/>
    <col min="7938" max="7939" width="11.28515625" customWidth="1"/>
    <col min="7940" max="7940" width="49.140625" customWidth="1"/>
    <col min="8194" max="8195" width="11.28515625" customWidth="1"/>
    <col min="8196" max="8196" width="49.140625" customWidth="1"/>
    <col min="8450" max="8451" width="11.28515625" customWidth="1"/>
    <col min="8452" max="8452" width="49.140625" customWidth="1"/>
    <col min="8706" max="8707" width="11.28515625" customWidth="1"/>
    <col min="8708" max="8708" width="49.140625" customWidth="1"/>
    <col min="8962" max="8963" width="11.28515625" customWidth="1"/>
    <col min="8964" max="8964" width="49.140625" customWidth="1"/>
    <col min="9218" max="9219" width="11.28515625" customWidth="1"/>
    <col min="9220" max="9220" width="49.140625" customWidth="1"/>
    <col min="9474" max="9475" width="11.28515625" customWidth="1"/>
    <col min="9476" max="9476" width="49.140625" customWidth="1"/>
    <col min="9730" max="9731" width="11.28515625" customWidth="1"/>
    <col min="9732" max="9732" width="49.140625" customWidth="1"/>
    <col min="9986" max="9987" width="11.28515625" customWidth="1"/>
    <col min="9988" max="9988" width="49.140625" customWidth="1"/>
    <col min="10242" max="10243" width="11.28515625" customWidth="1"/>
    <col min="10244" max="10244" width="49.140625" customWidth="1"/>
    <col min="10498" max="10499" width="11.28515625" customWidth="1"/>
    <col min="10500" max="10500" width="49.140625" customWidth="1"/>
    <col min="10754" max="10755" width="11.28515625" customWidth="1"/>
    <col min="10756" max="10756" width="49.140625" customWidth="1"/>
    <col min="11010" max="11011" width="11.28515625" customWidth="1"/>
    <col min="11012" max="11012" width="49.140625" customWidth="1"/>
    <col min="11266" max="11267" width="11.28515625" customWidth="1"/>
    <col min="11268" max="11268" width="49.140625" customWidth="1"/>
    <col min="11522" max="11523" width="11.28515625" customWidth="1"/>
    <col min="11524" max="11524" width="49.140625" customWidth="1"/>
    <col min="11778" max="11779" width="11.28515625" customWidth="1"/>
    <col min="11780" max="11780" width="49.140625" customWidth="1"/>
    <col min="12034" max="12035" width="11.28515625" customWidth="1"/>
    <col min="12036" max="12036" width="49.140625" customWidth="1"/>
    <col min="12290" max="12291" width="11.28515625" customWidth="1"/>
    <col min="12292" max="12292" width="49.140625" customWidth="1"/>
    <col min="12546" max="12547" width="11.28515625" customWidth="1"/>
    <col min="12548" max="12548" width="49.140625" customWidth="1"/>
    <col min="12802" max="12803" width="11.28515625" customWidth="1"/>
    <col min="12804" max="12804" width="49.140625" customWidth="1"/>
    <col min="13058" max="13059" width="11.28515625" customWidth="1"/>
    <col min="13060" max="13060" width="49.140625" customWidth="1"/>
    <col min="13314" max="13315" width="11.28515625" customWidth="1"/>
    <col min="13316" max="13316" width="49.140625" customWidth="1"/>
    <col min="13570" max="13571" width="11.28515625" customWidth="1"/>
    <col min="13572" max="13572" width="49.140625" customWidth="1"/>
    <col min="13826" max="13827" width="11.28515625" customWidth="1"/>
    <col min="13828" max="13828" width="49.140625" customWidth="1"/>
    <col min="14082" max="14083" width="11.28515625" customWidth="1"/>
    <col min="14084" max="14084" width="49.140625" customWidth="1"/>
    <col min="14338" max="14339" width="11.28515625" customWidth="1"/>
    <col min="14340" max="14340" width="49.140625" customWidth="1"/>
    <col min="14594" max="14595" width="11.28515625" customWidth="1"/>
    <col min="14596" max="14596" width="49.140625" customWidth="1"/>
    <col min="14850" max="14851" width="11.28515625" customWidth="1"/>
    <col min="14852" max="14852" width="49.140625" customWidth="1"/>
    <col min="15106" max="15107" width="11.28515625" customWidth="1"/>
    <col min="15108" max="15108" width="49.140625" customWidth="1"/>
    <col min="15362" max="15363" width="11.28515625" customWidth="1"/>
    <col min="15364" max="15364" width="49.140625" customWidth="1"/>
    <col min="15618" max="15619" width="11.28515625" customWidth="1"/>
    <col min="15620" max="15620" width="49.140625" customWidth="1"/>
    <col min="15874" max="15875" width="11.28515625" customWidth="1"/>
    <col min="15876" max="15876" width="49.140625" customWidth="1"/>
    <col min="16130" max="16131" width="11.28515625" customWidth="1"/>
    <col min="16132" max="16132" width="49.140625" customWidth="1"/>
  </cols>
  <sheetData>
    <row r="1" spans="1:4" ht="15.75" thickBot="1">
      <c r="A1" s="1"/>
      <c r="B1" s="1"/>
      <c r="C1" s="1"/>
      <c r="D1" s="1"/>
    </row>
    <row r="2" spans="1:4" ht="15">
      <c r="A2" s="1"/>
      <c r="B2" s="302"/>
      <c r="C2" s="303"/>
      <c r="D2" s="304"/>
    </row>
    <row r="3" spans="1:4" ht="15">
      <c r="A3" s="1"/>
      <c r="B3" s="305"/>
      <c r="C3" s="306"/>
      <c r="D3" s="307"/>
    </row>
    <row r="4" spans="1:4" ht="15">
      <c r="A4" s="1"/>
      <c r="B4" s="305"/>
      <c r="C4" s="306"/>
      <c r="D4" s="307"/>
    </row>
    <row r="5" spans="1:4" ht="15">
      <c r="A5" s="1"/>
      <c r="B5" s="305"/>
      <c r="C5" s="306"/>
      <c r="D5" s="307"/>
    </row>
    <row r="6" spans="1:4" ht="15">
      <c r="A6" s="1"/>
      <c r="B6" s="305"/>
      <c r="C6" s="306"/>
      <c r="D6" s="307"/>
    </row>
    <row r="7" spans="1:4" ht="18" customHeight="1">
      <c r="A7" s="1"/>
      <c r="B7" s="305"/>
      <c r="C7" s="517"/>
      <c r="D7" s="307"/>
    </row>
    <row r="8" spans="1:4" ht="18.75">
      <c r="A8" s="1"/>
      <c r="B8" s="1031" t="s">
        <v>301</v>
      </c>
      <c r="C8" s="1032"/>
      <c r="D8" s="1033"/>
    </row>
    <row r="9" spans="1:4" ht="15.75">
      <c r="A9" s="1"/>
      <c r="B9" s="1034" t="s">
        <v>302</v>
      </c>
      <c r="C9" s="1035"/>
      <c r="D9" s="1036"/>
    </row>
    <row r="10" spans="1:4" ht="21" customHeight="1">
      <c r="A10" s="156"/>
      <c r="B10" s="771" t="str">
        <f>IF(School="",Mssg1,School)</f>
        <v>Please enter school name on tab - "1) Name of School"</v>
      </c>
      <c r="C10" s="555"/>
      <c r="D10" s="556"/>
    </row>
    <row r="11" spans="1:4" ht="15">
      <c r="A11" s="1"/>
      <c r="B11" s="557" t="str">
        <f>IF(CONTROL!J12=0,Mssg2,AcadYr1)</f>
        <v>2024-25</v>
      </c>
      <c r="C11" s="558"/>
      <c r="D11" s="559"/>
    </row>
    <row r="12" spans="1:4" ht="15">
      <c r="A12" s="1"/>
      <c r="B12" s="539"/>
      <c r="C12" s="142"/>
      <c r="D12" s="540"/>
    </row>
    <row r="13" spans="1:4" ht="12.75" customHeight="1">
      <c r="A13" s="1"/>
      <c r="B13" s="1037" t="s">
        <v>303</v>
      </c>
      <c r="C13" s="1038"/>
      <c r="D13" s="1039">
        <v>0</v>
      </c>
    </row>
    <row r="14" spans="1:4" ht="19.5" customHeight="1">
      <c r="A14" s="1"/>
      <c r="B14" s="1037"/>
      <c r="C14" s="1038"/>
      <c r="D14" s="1039"/>
    </row>
    <row r="15" spans="1:4" ht="15">
      <c r="A15" s="1"/>
      <c r="B15" s="1040"/>
      <c r="C15" s="1041"/>
      <c r="D15" s="519"/>
    </row>
    <row r="16" spans="1:4" ht="75.75" thickBot="1">
      <c r="A16" s="1"/>
      <c r="B16" s="1029" t="s">
        <v>304</v>
      </c>
      <c r="C16" s="1030"/>
      <c r="D16" s="520" t="s">
        <v>305</v>
      </c>
    </row>
    <row r="17" spans="1:4" ht="15">
      <c r="A17" s="1"/>
      <c r="B17" s="1"/>
      <c r="C17" s="1"/>
      <c r="D17" s="1"/>
    </row>
    <row r="18" spans="1:4" ht="15">
      <c r="A18" s="1"/>
      <c r="B18" s="308" t="s">
        <v>334</v>
      </c>
      <c r="C18" s="1"/>
      <c r="D18" s="1"/>
    </row>
  </sheetData>
  <sheetProtection algorithmName="SHA-512" hashValue="VJdohJgBw19FNCl22xItaRp59dmmJafWT7Kcn10uzIby80QbgSadlN9UF/TamxildWfaW5ckb5yiZsJFCcv1nw==" saltValue="csHbXp24zSTSRSQ4lXleqg==" spinCount="100000" sheet="1" objects="1" scenarios="1"/>
  <mergeCells count="6">
    <mergeCell ref="B16:C16"/>
    <mergeCell ref="B8:D8"/>
    <mergeCell ref="B9:D9"/>
    <mergeCell ref="B13:C14"/>
    <mergeCell ref="D13:D14"/>
    <mergeCell ref="B15:C15"/>
  </mergeCells>
  <conditionalFormatting sqref="B10:D10">
    <cfRule type="expression" dxfId="44" priority="3">
      <formula>$B$10=Mssg1</formula>
    </cfRule>
  </conditionalFormatting>
  <conditionalFormatting sqref="B11:D11">
    <cfRule type="expression" dxfId="43" priority="1">
      <formula>$B$11=Mssg2</formula>
    </cfRule>
  </conditionalFormatting>
  <conditionalFormatting sqref="D13:D14">
    <cfRule type="cellIs" dxfId="42" priority="4" stopIfTrue="1" operator="greaterThan">
      <formula>0</formula>
    </cfRule>
  </conditionalFormatting>
  <printOptions horizontalCentered="1" verticalCentered="1"/>
  <pageMargins left="0.49" right="0.45" top="0.31" bottom="0.28000000000000003" header="0.3" footer="0.3"/>
  <pageSetup orientation="landscape" r:id="rId1"/>
  <headerFooter>
    <oddFooter>&amp;CPage &amp;P of &amp;N&amp;R&amp;F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Funding by District</vt:lpstr>
      <vt:lpstr>1.) Name of School</vt:lpstr>
      <vt:lpstr>2.) Enrollment</vt:lpstr>
      <vt:lpstr>3.) Staffing Plan</vt:lpstr>
      <vt:lpstr>4.) Yearly Budget</vt:lpstr>
      <vt:lpstr>5.) Balance Sheet</vt:lpstr>
      <vt:lpstr>6.) Quarterly Report</vt:lpstr>
      <vt:lpstr>AcadYr1</vt:lpstr>
      <vt:lpstr>BSNote1</vt:lpstr>
      <vt:lpstr>BSNote2</vt:lpstr>
      <vt:lpstr>BSNoteCode</vt:lpstr>
      <vt:lpstr>DistrictList</vt:lpstr>
      <vt:lpstr>DVList_AcadYr</vt:lpstr>
      <vt:lpstr>List_Grade5Levels</vt:lpstr>
      <vt:lpstr>List_GradeLevels</vt:lpstr>
      <vt:lpstr>Mssg1</vt:lpstr>
      <vt:lpstr>Mssg2</vt:lpstr>
      <vt:lpstr>Mssg3</vt:lpstr>
      <vt:lpstr>mySchools</vt:lpstr>
      <vt:lpstr>PPR_Tbl_Date</vt:lpstr>
      <vt:lpstr>'1.) Name of School'!Print_Area</vt:lpstr>
      <vt:lpstr>'2.) Enrollment'!Print_Area</vt:lpstr>
      <vt:lpstr>'3.) Staffing Plan'!Print_Area</vt:lpstr>
      <vt:lpstr>'4.) Yearly Budget'!Print_Area</vt:lpstr>
      <vt:lpstr>'5.) Balance Sheet'!Print_Area</vt:lpstr>
      <vt:lpstr>'6.) Quarterly Report'!Print_Area</vt:lpstr>
      <vt:lpstr>'Funding by District'!Print_Area</vt:lpstr>
      <vt:lpstr>INSTRUCTIONS!Print_Area</vt:lpstr>
      <vt:lpstr>'2.) Enrollment'!Print_Titles</vt:lpstr>
      <vt:lpstr>'3.) Staffing Plan'!Print_Titles</vt:lpstr>
      <vt:lpstr>'4.) Yearly Budget'!Print_Titles</vt:lpstr>
      <vt:lpstr>'6.) Quarterly Report'!Print_Titles</vt:lpstr>
      <vt:lpstr>'Funding by District'!Print_Titles</vt:lpstr>
      <vt:lpstr>PriorPeriod</vt:lpstr>
      <vt:lpstr>QTR</vt:lpstr>
      <vt:lpstr>QTR_MSG</vt:lpstr>
      <vt:lpstr>School</vt:lpstr>
      <vt:lpstr>SCHOOLS</vt:lpstr>
      <vt:lpstr>Year1</vt:lpstr>
      <vt:lpstr>Year2</vt:lpstr>
      <vt:lpstr>Year3</vt:lpstr>
      <vt:lpstr>Year4</vt:lpstr>
      <vt:lpstr>Year5</vt:lpstr>
    </vt:vector>
  </TitlesOfParts>
  <Company>SUNY Charter Schools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Budget/Qtr Template</dc:title>
  <dc:creator>flackjo</dc:creator>
  <cp:lastModifiedBy>Dutkiewicz, Chris</cp:lastModifiedBy>
  <cp:lastPrinted>2018-05-23T16:47:55Z</cp:lastPrinted>
  <dcterms:created xsi:type="dcterms:W3CDTF">2009-07-01T14:18:54Z</dcterms:created>
  <dcterms:modified xsi:type="dcterms:W3CDTF">2024-06-18T13:47:59Z</dcterms:modified>
</cp:coreProperties>
</file>